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873EDD76-1A71-4373-ABD9-CE75626AB405}" xr6:coauthVersionLast="46" xr6:coauthVersionMax="46" xr10:uidLastSave="{00000000-0000-0000-0000-000000000000}"/>
  <bookViews>
    <workbookView xWindow="-110" yWindow="-110" windowWidth="19420" windowHeight="10420" xr2:uid="{00000000-000D-0000-FFFF-FFFF00000000}"/>
  </bookViews>
  <sheets>
    <sheet name="Data - Taxa" sheetId="4" r:id="rId1"/>
    <sheet name="Data - Localities" sheetId="2" r:id="rId2"/>
    <sheet name="Plots - Temporal Data" sheetId="8" r:id="rId3"/>
    <sheet name="Plots - Palaeolatitudinal Data" sheetId="11" r:id="rId4"/>
    <sheet name="R - All Data" sheetId="27" r:id="rId5"/>
    <sheet name="Maps - &gt;571 Ma" sheetId="24" r:id="rId6"/>
    <sheet name="Maps - 570-561 Ma" sheetId="23" r:id="rId7"/>
    <sheet name="Maps - 560-551 Ma" sheetId="22" r:id="rId8"/>
    <sheet name="Maps - 550-539 Ma" sheetId="25" r:id="rId9"/>
    <sheet name="Maps - Bilateral&amp;Biomineraliser" sheetId="15" r:id="rId10"/>
    <sheet name="Coordinates" sheetId="26"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1" l="1"/>
  <c r="O8" i="11"/>
  <c r="P7" i="11"/>
  <c r="O7" i="11"/>
  <c r="P6" i="11"/>
  <c r="O6" i="11"/>
  <c r="P5" i="11"/>
  <c r="O5" i="11"/>
  <c r="O9" i="11" s="1"/>
  <c r="P4" i="11"/>
  <c r="P9" i="11" s="1"/>
  <c r="O4" i="11"/>
  <c r="N27" i="11"/>
  <c r="M27" i="11"/>
  <c r="L27" i="11"/>
  <c r="K27" i="11"/>
  <c r="J27" i="11"/>
  <c r="I27" i="11"/>
  <c r="H27" i="11"/>
  <c r="G27" i="11"/>
  <c r="F27" i="11"/>
  <c r="E27" i="11"/>
  <c r="D27" i="11"/>
  <c r="C27" i="11"/>
  <c r="N26" i="11"/>
  <c r="M26" i="11"/>
  <c r="L26" i="11"/>
  <c r="K26" i="11"/>
  <c r="J26" i="11"/>
  <c r="I26" i="11"/>
  <c r="H26" i="11"/>
  <c r="G26" i="11"/>
  <c r="F26" i="11"/>
  <c r="E26" i="11"/>
  <c r="D26" i="11"/>
  <c r="C26" i="11"/>
  <c r="N25" i="11"/>
  <c r="M25" i="11"/>
  <c r="L25" i="11"/>
  <c r="K25" i="11"/>
  <c r="J25" i="11"/>
  <c r="I25" i="11"/>
  <c r="H25" i="11"/>
  <c r="G25" i="11"/>
  <c r="F25" i="11"/>
  <c r="E25" i="11"/>
  <c r="D25" i="11"/>
  <c r="C25" i="11"/>
  <c r="N24" i="11"/>
  <c r="M24" i="11"/>
  <c r="L24" i="11"/>
  <c r="K24" i="11"/>
  <c r="J24" i="11"/>
  <c r="I24" i="11"/>
  <c r="H24" i="11"/>
  <c r="G24" i="11"/>
  <c r="F24" i="11"/>
  <c r="E24" i="11"/>
  <c r="D24" i="11"/>
  <c r="C24" i="11"/>
  <c r="N23" i="11"/>
  <c r="M23" i="11"/>
  <c r="L23" i="11"/>
  <c r="K23" i="11"/>
  <c r="J23" i="11"/>
  <c r="I23" i="11"/>
  <c r="H23" i="11"/>
  <c r="G23" i="11"/>
  <c r="F23" i="11"/>
  <c r="E23" i="11"/>
  <c r="D23" i="11"/>
  <c r="C23" i="11"/>
  <c r="B8" i="11"/>
  <c r="B7" i="11"/>
  <c r="B6" i="11"/>
  <c r="B5" i="11"/>
  <c r="B4" i="11"/>
  <c r="I16" i="8"/>
  <c r="H16" i="8"/>
  <c r="G16" i="8"/>
  <c r="F16" i="8"/>
  <c r="E16" i="8"/>
  <c r="D16" i="8"/>
  <c r="C16" i="8"/>
  <c r="B16" i="8"/>
  <c r="I15" i="8"/>
  <c r="H15" i="8"/>
  <c r="G15" i="8"/>
  <c r="F15" i="8"/>
  <c r="E15" i="8"/>
  <c r="D15" i="8"/>
  <c r="C15" i="8"/>
  <c r="B15" i="8"/>
  <c r="I14" i="27"/>
  <c r="H14" i="27"/>
  <c r="G14" i="27"/>
  <c r="F14" i="27"/>
  <c r="E14" i="27"/>
  <c r="D14" i="27"/>
  <c r="C14" i="27"/>
  <c r="B14" i="27"/>
  <c r="I13" i="27"/>
  <c r="H13" i="27"/>
  <c r="G13" i="27"/>
  <c r="F13" i="27"/>
  <c r="E13" i="27"/>
  <c r="D13" i="27"/>
  <c r="C13" i="27"/>
  <c r="B13" i="27"/>
  <c r="K32" i="15"/>
  <c r="J32" i="15"/>
  <c r="I32" i="15"/>
  <c r="H32" i="15"/>
  <c r="G32" i="15"/>
  <c r="F32" i="15"/>
  <c r="E32" i="15"/>
  <c r="D32" i="15"/>
  <c r="C32" i="15"/>
  <c r="B32" i="15"/>
  <c r="K31" i="15"/>
  <c r="J31" i="15"/>
  <c r="I31" i="15"/>
  <c r="H31" i="15"/>
  <c r="G31" i="15"/>
  <c r="F31" i="15"/>
  <c r="E31" i="15"/>
  <c r="D31" i="15"/>
  <c r="C31" i="15"/>
  <c r="B31" i="15"/>
  <c r="K30" i="15"/>
  <c r="J30" i="15"/>
  <c r="I30" i="15"/>
  <c r="H30" i="15"/>
  <c r="G30" i="15"/>
  <c r="F30" i="15"/>
  <c r="E30" i="15"/>
  <c r="D30" i="15"/>
  <c r="C30" i="15"/>
  <c r="B30" i="15"/>
  <c r="K29" i="15"/>
  <c r="J29" i="15"/>
  <c r="I29" i="15"/>
  <c r="H29" i="15"/>
  <c r="G29" i="15"/>
  <c r="F29" i="15"/>
  <c r="E29" i="15"/>
  <c r="D29" i="15"/>
  <c r="C29" i="15"/>
  <c r="B29" i="15"/>
  <c r="K28" i="15"/>
  <c r="J28" i="15"/>
  <c r="I28" i="15"/>
  <c r="H28" i="15"/>
  <c r="G28" i="15"/>
  <c r="F28" i="15"/>
  <c r="E28" i="15"/>
  <c r="D28" i="15"/>
  <c r="C28" i="15"/>
  <c r="B28" i="15"/>
  <c r="K27" i="15"/>
  <c r="J27" i="15"/>
  <c r="I27" i="15"/>
  <c r="H27" i="15"/>
  <c r="G27" i="15"/>
  <c r="F27" i="15"/>
  <c r="E27" i="15"/>
  <c r="D27" i="15"/>
  <c r="C27" i="15"/>
  <c r="B27" i="15"/>
  <c r="K26" i="15"/>
  <c r="J26" i="15"/>
  <c r="I26" i="15"/>
  <c r="H26" i="15"/>
  <c r="G26" i="15"/>
  <c r="F26" i="15"/>
  <c r="E26" i="15"/>
  <c r="D26" i="15"/>
  <c r="C26" i="15"/>
  <c r="B26" i="15"/>
  <c r="K25" i="15"/>
  <c r="J25" i="15"/>
  <c r="I25" i="15"/>
  <c r="H25" i="15"/>
  <c r="G25" i="15"/>
  <c r="F25" i="15"/>
  <c r="E25" i="15"/>
  <c r="D25" i="15"/>
  <c r="C25" i="15"/>
  <c r="B25" i="15"/>
  <c r="K24" i="15"/>
  <c r="J24" i="15"/>
  <c r="I24" i="15"/>
  <c r="H24" i="15"/>
  <c r="G24" i="15"/>
  <c r="F24" i="15"/>
  <c r="E24" i="15"/>
  <c r="D24" i="15"/>
  <c r="C24" i="15"/>
  <c r="B24" i="15"/>
  <c r="K23" i="15"/>
  <c r="J23" i="15"/>
  <c r="I23" i="15"/>
  <c r="H23" i="15"/>
  <c r="G23" i="15"/>
  <c r="F23" i="15"/>
  <c r="E23" i="15"/>
  <c r="D23" i="15"/>
  <c r="C23" i="15"/>
  <c r="B23" i="15"/>
  <c r="K22" i="15"/>
  <c r="J22" i="15"/>
  <c r="I22" i="15"/>
  <c r="H22" i="15"/>
  <c r="G22" i="15"/>
  <c r="F22" i="15"/>
  <c r="E22" i="15"/>
  <c r="D22" i="15"/>
  <c r="C22" i="15"/>
  <c r="B22" i="15"/>
  <c r="K21" i="15"/>
  <c r="J21" i="15"/>
  <c r="I21" i="15"/>
  <c r="H21" i="15"/>
  <c r="G21" i="15"/>
  <c r="F21" i="15"/>
  <c r="E21" i="15"/>
  <c r="D21" i="15"/>
  <c r="C21" i="15"/>
  <c r="B21" i="15"/>
  <c r="K20" i="15"/>
  <c r="J20" i="15"/>
  <c r="I20" i="15"/>
  <c r="H20" i="15"/>
  <c r="G20" i="15"/>
  <c r="F20" i="15"/>
  <c r="E20" i="15"/>
  <c r="D20" i="15"/>
  <c r="C20" i="15"/>
  <c r="B20" i="15"/>
  <c r="K19" i="15"/>
  <c r="J19" i="15"/>
  <c r="I19" i="15"/>
  <c r="H19" i="15"/>
  <c r="G19" i="15"/>
  <c r="F19" i="15"/>
  <c r="E19" i="15"/>
  <c r="D19" i="15"/>
  <c r="C19" i="15"/>
  <c r="B19" i="15"/>
  <c r="K18" i="15"/>
  <c r="J18" i="15"/>
  <c r="I18" i="15"/>
  <c r="H18" i="15"/>
  <c r="G18" i="15"/>
  <c r="F18" i="15"/>
  <c r="E18" i="15"/>
  <c r="D18" i="15"/>
  <c r="C18" i="15"/>
  <c r="B18" i="15"/>
  <c r="K17" i="15"/>
  <c r="J17" i="15"/>
  <c r="I17" i="15"/>
  <c r="H17" i="15"/>
  <c r="G17" i="15"/>
  <c r="F17" i="15"/>
  <c r="E17" i="15"/>
  <c r="D17" i="15"/>
  <c r="C17" i="15"/>
  <c r="B17" i="15"/>
  <c r="K16" i="15"/>
  <c r="J16" i="15"/>
  <c r="I16" i="15"/>
  <c r="H16" i="15"/>
  <c r="G16" i="15"/>
  <c r="F16" i="15"/>
  <c r="E16" i="15"/>
  <c r="D16" i="15"/>
  <c r="C16" i="15"/>
  <c r="B16" i="15"/>
  <c r="K15" i="15"/>
  <c r="J15" i="15"/>
  <c r="I15" i="15"/>
  <c r="H15" i="15"/>
  <c r="G15" i="15"/>
  <c r="F15" i="15"/>
  <c r="E15" i="15"/>
  <c r="D15" i="15"/>
  <c r="C15" i="15"/>
  <c r="B15" i="15"/>
  <c r="K14" i="15"/>
  <c r="J14" i="15"/>
  <c r="I14" i="15"/>
  <c r="H14" i="15"/>
  <c r="G14" i="15"/>
  <c r="F14" i="15"/>
  <c r="E14" i="15"/>
  <c r="D14" i="15"/>
  <c r="C14" i="15"/>
  <c r="B14" i="15"/>
  <c r="K13" i="15"/>
  <c r="J13" i="15"/>
  <c r="I13" i="15"/>
  <c r="H13" i="15"/>
  <c r="G13" i="15"/>
  <c r="F13" i="15"/>
  <c r="E13" i="15"/>
  <c r="D13" i="15"/>
  <c r="C13" i="15"/>
  <c r="B13" i="15"/>
  <c r="K12" i="15"/>
  <c r="J12" i="15"/>
  <c r="I12" i="15"/>
  <c r="H12" i="15"/>
  <c r="G12" i="15"/>
  <c r="F12" i="15"/>
  <c r="E12" i="15"/>
  <c r="D12" i="15"/>
  <c r="C12" i="15"/>
  <c r="B12" i="15"/>
  <c r="K11" i="15"/>
  <c r="J11" i="15"/>
  <c r="I11" i="15"/>
  <c r="H11" i="15"/>
  <c r="G11" i="15"/>
  <c r="F11" i="15"/>
  <c r="E11" i="15"/>
  <c r="D11" i="15"/>
  <c r="C11" i="15"/>
  <c r="B11" i="15"/>
  <c r="K10" i="15"/>
  <c r="J10" i="15"/>
  <c r="I10" i="15"/>
  <c r="H10" i="15"/>
  <c r="G10" i="15"/>
  <c r="F10" i="15"/>
  <c r="E10" i="15"/>
  <c r="D10" i="15"/>
  <c r="C10" i="15"/>
  <c r="B10" i="15"/>
  <c r="K9" i="15"/>
  <c r="J9" i="15"/>
  <c r="I9" i="15"/>
  <c r="H9" i="15"/>
  <c r="G9" i="15"/>
  <c r="F9" i="15"/>
  <c r="E9" i="15"/>
  <c r="D9" i="15"/>
  <c r="C9" i="15"/>
  <c r="B9" i="15"/>
  <c r="K8" i="15"/>
  <c r="J8" i="15"/>
  <c r="I8" i="15"/>
  <c r="H8" i="15"/>
  <c r="G8" i="15"/>
  <c r="F8" i="15"/>
  <c r="E8" i="15"/>
  <c r="D8" i="15"/>
  <c r="C8" i="15"/>
  <c r="B8" i="15"/>
  <c r="K7" i="15"/>
  <c r="J7" i="15"/>
  <c r="I7" i="15"/>
  <c r="H7" i="15"/>
  <c r="G7" i="15"/>
  <c r="F7" i="15"/>
  <c r="E7" i="15"/>
  <c r="D7" i="15"/>
  <c r="C7" i="15"/>
  <c r="B7" i="15"/>
  <c r="K6" i="15"/>
  <c r="J6" i="15"/>
  <c r="I6" i="15"/>
  <c r="H6" i="15"/>
  <c r="G6" i="15"/>
  <c r="F6" i="15"/>
  <c r="E6" i="15"/>
  <c r="D6" i="15"/>
  <c r="C6" i="15"/>
  <c r="B6" i="15"/>
  <c r="K5" i="15"/>
  <c r="J5" i="15"/>
  <c r="I5" i="15"/>
  <c r="H5" i="15"/>
  <c r="G5" i="15"/>
  <c r="F5" i="15"/>
  <c r="E5" i="15"/>
  <c r="D5" i="15"/>
  <c r="C5" i="15"/>
  <c r="B5" i="15"/>
  <c r="K4" i="15"/>
  <c r="J4" i="15"/>
  <c r="I4" i="15"/>
  <c r="H4" i="15"/>
  <c r="G4" i="15"/>
  <c r="F4" i="15"/>
  <c r="E4" i="15"/>
  <c r="D4" i="15"/>
  <c r="C4" i="15"/>
  <c r="B4" i="15"/>
  <c r="K3" i="15"/>
  <c r="J3" i="15"/>
  <c r="I3" i="15"/>
  <c r="H3" i="15"/>
  <c r="G3" i="15"/>
  <c r="F3" i="15"/>
  <c r="E3" i="15"/>
  <c r="D3" i="15"/>
  <c r="C3" i="15"/>
  <c r="B3" i="15"/>
  <c r="U19" i="25"/>
  <c r="T19" i="25"/>
  <c r="S19" i="25"/>
  <c r="R19" i="25"/>
  <c r="Q19" i="25"/>
  <c r="P19" i="25"/>
  <c r="O19" i="25"/>
  <c r="N19" i="25"/>
  <c r="M19" i="25"/>
  <c r="L19" i="25"/>
  <c r="K19" i="25"/>
  <c r="J19" i="25"/>
  <c r="I19" i="25"/>
  <c r="H19" i="25"/>
  <c r="G19" i="25"/>
  <c r="F19" i="25"/>
  <c r="E19" i="25"/>
  <c r="D19" i="25"/>
  <c r="C19" i="25"/>
  <c r="B19" i="25"/>
  <c r="Y18" i="25"/>
  <c r="X18" i="25"/>
  <c r="W18" i="25"/>
  <c r="V18" i="25"/>
  <c r="U18" i="25"/>
  <c r="T18" i="25"/>
  <c r="S18" i="25"/>
  <c r="R18" i="25"/>
  <c r="Z18" i="25" s="1"/>
  <c r="Q18" i="25"/>
  <c r="P18" i="25"/>
  <c r="O18" i="25"/>
  <c r="N18" i="25"/>
  <c r="M18" i="25"/>
  <c r="L18" i="25"/>
  <c r="K18" i="25"/>
  <c r="J18" i="25"/>
  <c r="I18" i="25"/>
  <c r="H18" i="25"/>
  <c r="G18" i="25"/>
  <c r="F18" i="25"/>
  <c r="E18" i="25"/>
  <c r="D18" i="25"/>
  <c r="C18" i="25"/>
  <c r="B18" i="25"/>
  <c r="Y17" i="25"/>
  <c r="X17" i="25"/>
  <c r="W17" i="25"/>
  <c r="V17" i="25"/>
  <c r="U17" i="25"/>
  <c r="T17" i="25"/>
  <c r="S17" i="25"/>
  <c r="R17" i="25"/>
  <c r="Z17" i="25" s="1"/>
  <c r="Q17" i="25"/>
  <c r="P17" i="25"/>
  <c r="O17" i="25"/>
  <c r="N17" i="25"/>
  <c r="M17" i="25"/>
  <c r="L17" i="25"/>
  <c r="K17" i="25"/>
  <c r="J17" i="25"/>
  <c r="I17" i="25"/>
  <c r="H17" i="25"/>
  <c r="G17" i="25"/>
  <c r="F17" i="25"/>
  <c r="E17" i="25"/>
  <c r="D17" i="25"/>
  <c r="C17" i="25"/>
  <c r="B17" i="25"/>
  <c r="Y16" i="25"/>
  <c r="X16" i="25"/>
  <c r="W16" i="25"/>
  <c r="V16" i="25"/>
  <c r="U16" i="25"/>
  <c r="T16" i="25"/>
  <c r="S16" i="25"/>
  <c r="R16" i="25"/>
  <c r="Z16" i="25" s="1"/>
  <c r="Q16" i="25"/>
  <c r="P16" i="25"/>
  <c r="O16" i="25"/>
  <c r="N16" i="25"/>
  <c r="M16" i="25"/>
  <c r="L16" i="25"/>
  <c r="K16" i="25"/>
  <c r="J16" i="25"/>
  <c r="I16" i="25"/>
  <c r="H16" i="25"/>
  <c r="G16" i="25"/>
  <c r="F16" i="25"/>
  <c r="E16" i="25"/>
  <c r="D16" i="25"/>
  <c r="C16" i="25"/>
  <c r="B16" i="25"/>
  <c r="Y15" i="25"/>
  <c r="X15" i="25"/>
  <c r="W15" i="25"/>
  <c r="V15" i="25"/>
  <c r="U15" i="25"/>
  <c r="T15" i="25"/>
  <c r="S15" i="25"/>
  <c r="R15" i="25"/>
  <c r="Z15" i="25" s="1"/>
  <c r="Q15" i="25"/>
  <c r="P15" i="25"/>
  <c r="O15" i="25"/>
  <c r="N15" i="25"/>
  <c r="M15" i="25"/>
  <c r="L15" i="25"/>
  <c r="K15" i="25"/>
  <c r="J15" i="25"/>
  <c r="I15" i="25"/>
  <c r="H15" i="25"/>
  <c r="G15" i="25"/>
  <c r="F15" i="25"/>
  <c r="E15" i="25"/>
  <c r="D15" i="25"/>
  <c r="C15" i="25"/>
  <c r="B15" i="25"/>
  <c r="Y14" i="25"/>
  <c r="X14" i="25"/>
  <c r="W14" i="25"/>
  <c r="V14" i="25"/>
  <c r="U14" i="25"/>
  <c r="T14" i="25"/>
  <c r="S14" i="25"/>
  <c r="R14" i="25"/>
  <c r="Z14" i="25" s="1"/>
  <c r="Q14" i="25"/>
  <c r="P14" i="25"/>
  <c r="O14" i="25"/>
  <c r="N14" i="25"/>
  <c r="M14" i="25"/>
  <c r="L14" i="25"/>
  <c r="K14" i="25"/>
  <c r="J14" i="25"/>
  <c r="I14" i="25"/>
  <c r="H14" i="25"/>
  <c r="G14" i="25"/>
  <c r="F14" i="25"/>
  <c r="E14" i="25"/>
  <c r="D14" i="25"/>
  <c r="C14" i="25"/>
  <c r="B14" i="25"/>
  <c r="Y13" i="25"/>
  <c r="X13" i="25"/>
  <c r="W13" i="25"/>
  <c r="V13" i="25"/>
  <c r="U13" i="25"/>
  <c r="T13" i="25"/>
  <c r="S13" i="25"/>
  <c r="R13" i="25"/>
  <c r="Z13" i="25" s="1"/>
  <c r="Q13" i="25"/>
  <c r="P13" i="25"/>
  <c r="O13" i="25"/>
  <c r="N13" i="25"/>
  <c r="M13" i="25"/>
  <c r="L13" i="25"/>
  <c r="K13" i="25"/>
  <c r="J13" i="25"/>
  <c r="I13" i="25"/>
  <c r="H13" i="25"/>
  <c r="G13" i="25"/>
  <c r="F13" i="25"/>
  <c r="E13" i="25"/>
  <c r="D13" i="25"/>
  <c r="C13" i="25"/>
  <c r="B13" i="25"/>
  <c r="Y12" i="25"/>
  <c r="X12" i="25"/>
  <c r="W12" i="25"/>
  <c r="V12" i="25"/>
  <c r="U12" i="25"/>
  <c r="T12" i="25"/>
  <c r="S12" i="25"/>
  <c r="R12" i="25"/>
  <c r="Z12" i="25" s="1"/>
  <c r="Q12" i="25"/>
  <c r="P12" i="25"/>
  <c r="O12" i="25"/>
  <c r="N12" i="25"/>
  <c r="M12" i="25"/>
  <c r="L12" i="25"/>
  <c r="K12" i="25"/>
  <c r="J12" i="25"/>
  <c r="I12" i="25"/>
  <c r="H12" i="25"/>
  <c r="G12" i="25"/>
  <c r="F12" i="25"/>
  <c r="E12" i="25"/>
  <c r="D12" i="25"/>
  <c r="C12" i="25"/>
  <c r="B12" i="25"/>
  <c r="Y11" i="25"/>
  <c r="X11" i="25"/>
  <c r="W11" i="25"/>
  <c r="V11" i="25"/>
  <c r="U11" i="25"/>
  <c r="T11" i="25"/>
  <c r="S11" i="25"/>
  <c r="R11" i="25"/>
  <c r="Z11" i="25" s="1"/>
  <c r="Q11" i="25"/>
  <c r="P11" i="25"/>
  <c r="O11" i="25"/>
  <c r="N11" i="25"/>
  <c r="M11" i="25"/>
  <c r="L11" i="25"/>
  <c r="K11" i="25"/>
  <c r="J11" i="25"/>
  <c r="I11" i="25"/>
  <c r="H11" i="25"/>
  <c r="G11" i="25"/>
  <c r="F11" i="25"/>
  <c r="E11" i="25"/>
  <c r="D11" i="25"/>
  <c r="C11" i="25"/>
  <c r="B11" i="25"/>
  <c r="Y10" i="25"/>
  <c r="X10" i="25"/>
  <c r="W10" i="25"/>
  <c r="V10" i="25"/>
  <c r="U10" i="25"/>
  <c r="T10" i="25"/>
  <c r="S10" i="25"/>
  <c r="R10" i="25"/>
  <c r="Z10" i="25" s="1"/>
  <c r="Q10" i="25"/>
  <c r="P10" i="25"/>
  <c r="O10" i="25"/>
  <c r="N10" i="25"/>
  <c r="M10" i="25"/>
  <c r="L10" i="25"/>
  <c r="K10" i="25"/>
  <c r="J10" i="25"/>
  <c r="I10" i="25"/>
  <c r="H10" i="25"/>
  <c r="G10" i="25"/>
  <c r="F10" i="25"/>
  <c r="E10" i="25"/>
  <c r="D10" i="25"/>
  <c r="C10" i="25"/>
  <c r="B10" i="25"/>
  <c r="Y9" i="25"/>
  <c r="X9" i="25"/>
  <c r="W9" i="25"/>
  <c r="V9" i="25"/>
  <c r="U9" i="25"/>
  <c r="T9" i="25"/>
  <c r="S9" i="25"/>
  <c r="R9" i="25"/>
  <c r="Z9" i="25" s="1"/>
  <c r="Q9" i="25"/>
  <c r="P9" i="25"/>
  <c r="O9" i="25"/>
  <c r="N9" i="25"/>
  <c r="M9" i="25"/>
  <c r="L9" i="25"/>
  <c r="K9" i="25"/>
  <c r="J9" i="25"/>
  <c r="I9" i="25"/>
  <c r="H9" i="25"/>
  <c r="G9" i="25"/>
  <c r="F9" i="25"/>
  <c r="E9" i="25"/>
  <c r="D9" i="25"/>
  <c r="C9" i="25"/>
  <c r="B9" i="25"/>
  <c r="Y8" i="25"/>
  <c r="X8" i="25"/>
  <c r="W8" i="25"/>
  <c r="V8" i="25"/>
  <c r="U8" i="25"/>
  <c r="T8" i="25"/>
  <c r="S8" i="25"/>
  <c r="R8" i="25"/>
  <c r="Z8" i="25" s="1"/>
  <c r="Q8" i="25"/>
  <c r="P8" i="25"/>
  <c r="O8" i="25"/>
  <c r="N8" i="25"/>
  <c r="M8" i="25"/>
  <c r="L8" i="25"/>
  <c r="K8" i="25"/>
  <c r="J8" i="25"/>
  <c r="I8" i="25"/>
  <c r="H8" i="25"/>
  <c r="G8" i="25"/>
  <c r="F8" i="25"/>
  <c r="E8" i="25"/>
  <c r="D8" i="25"/>
  <c r="C8" i="25"/>
  <c r="B8" i="25"/>
  <c r="Y7" i="25"/>
  <c r="X7" i="25"/>
  <c r="W7" i="25"/>
  <c r="V7" i="25"/>
  <c r="U7" i="25"/>
  <c r="T7" i="25"/>
  <c r="S7" i="25"/>
  <c r="R7" i="25"/>
  <c r="Z7" i="25" s="1"/>
  <c r="Q7" i="25"/>
  <c r="P7" i="25"/>
  <c r="O7" i="25"/>
  <c r="N7" i="25"/>
  <c r="M7" i="25"/>
  <c r="L7" i="25"/>
  <c r="K7" i="25"/>
  <c r="J7" i="25"/>
  <c r="I7" i="25"/>
  <c r="H7" i="25"/>
  <c r="G7" i="25"/>
  <c r="F7" i="25"/>
  <c r="E7" i="25"/>
  <c r="D7" i="25"/>
  <c r="C7" i="25"/>
  <c r="B7" i="25"/>
  <c r="Y6" i="25"/>
  <c r="X6" i="25"/>
  <c r="W6" i="25"/>
  <c r="V6" i="25"/>
  <c r="U6" i="25"/>
  <c r="T6" i="25"/>
  <c r="S6" i="25"/>
  <c r="R6" i="25"/>
  <c r="Z6" i="25" s="1"/>
  <c r="Q6" i="25"/>
  <c r="P6" i="25"/>
  <c r="O6" i="25"/>
  <c r="N6" i="25"/>
  <c r="M6" i="25"/>
  <c r="L6" i="25"/>
  <c r="K6" i="25"/>
  <c r="J6" i="25"/>
  <c r="I6" i="25"/>
  <c r="H6" i="25"/>
  <c r="G6" i="25"/>
  <c r="F6" i="25"/>
  <c r="E6" i="25"/>
  <c r="D6" i="25"/>
  <c r="C6" i="25"/>
  <c r="B6" i="25"/>
  <c r="Y5" i="25"/>
  <c r="X5" i="25"/>
  <c r="W5" i="25"/>
  <c r="V5" i="25"/>
  <c r="U5" i="25"/>
  <c r="T5" i="25"/>
  <c r="S5" i="25"/>
  <c r="R5" i="25"/>
  <c r="Z5" i="25" s="1"/>
  <c r="Q5" i="25"/>
  <c r="P5" i="25"/>
  <c r="O5" i="25"/>
  <c r="N5" i="25"/>
  <c r="M5" i="25"/>
  <c r="L5" i="25"/>
  <c r="K5" i="25"/>
  <c r="J5" i="25"/>
  <c r="I5" i="25"/>
  <c r="H5" i="25"/>
  <c r="G5" i="25"/>
  <c r="F5" i="25"/>
  <c r="E5" i="25"/>
  <c r="D5" i="25"/>
  <c r="C5" i="25"/>
  <c r="B5" i="25"/>
  <c r="Y4" i="25"/>
  <c r="X4" i="25"/>
  <c r="W4" i="25"/>
  <c r="V4" i="25"/>
  <c r="U4" i="25"/>
  <c r="T4" i="25"/>
  <c r="S4" i="25"/>
  <c r="R4" i="25"/>
  <c r="Z4" i="25" s="1"/>
  <c r="Q4" i="25"/>
  <c r="P4" i="25"/>
  <c r="O4" i="25"/>
  <c r="N4" i="25"/>
  <c r="M4" i="25"/>
  <c r="L4" i="25"/>
  <c r="K4" i="25"/>
  <c r="J4" i="25"/>
  <c r="I4" i="25"/>
  <c r="H4" i="25"/>
  <c r="G4" i="25"/>
  <c r="F4" i="25"/>
  <c r="E4" i="25"/>
  <c r="D4" i="25"/>
  <c r="C4" i="25"/>
  <c r="B4" i="25"/>
  <c r="Y3" i="25"/>
  <c r="X3" i="25"/>
  <c r="W3" i="25"/>
  <c r="V3" i="25"/>
  <c r="U3" i="25"/>
  <c r="T3" i="25"/>
  <c r="S3" i="25"/>
  <c r="R3" i="25"/>
  <c r="Z3" i="25" s="1"/>
  <c r="Q3" i="25"/>
  <c r="P3" i="25"/>
  <c r="O3" i="25"/>
  <c r="N3" i="25"/>
  <c r="M3" i="25"/>
  <c r="L3" i="25"/>
  <c r="K3" i="25"/>
  <c r="J3" i="25"/>
  <c r="I3" i="25"/>
  <c r="H3" i="25"/>
  <c r="G3" i="25"/>
  <c r="F3" i="25"/>
  <c r="E3" i="25"/>
  <c r="D3" i="25"/>
  <c r="C3" i="25"/>
  <c r="B3" i="25"/>
  <c r="U15" i="22"/>
  <c r="T15" i="22"/>
  <c r="S15" i="22"/>
  <c r="R15" i="22"/>
  <c r="Q15" i="22"/>
  <c r="P15" i="22"/>
  <c r="O15" i="22"/>
  <c r="N15" i="22"/>
  <c r="M15" i="22"/>
  <c r="L15" i="22"/>
  <c r="K15" i="22"/>
  <c r="J15" i="22"/>
  <c r="I15" i="22"/>
  <c r="H15" i="22"/>
  <c r="G15" i="22"/>
  <c r="F15" i="22"/>
  <c r="E15" i="22"/>
  <c r="D15" i="22"/>
  <c r="C15" i="22"/>
  <c r="B15" i="22"/>
  <c r="Y14" i="22"/>
  <c r="X14" i="22"/>
  <c r="W14" i="22"/>
  <c r="V14" i="22"/>
  <c r="U14" i="22"/>
  <c r="T14" i="22"/>
  <c r="S14" i="22"/>
  <c r="R14" i="22"/>
  <c r="Q14" i="22"/>
  <c r="P14" i="22"/>
  <c r="O14" i="22"/>
  <c r="N14" i="22"/>
  <c r="M14" i="22"/>
  <c r="L14" i="22"/>
  <c r="K14" i="22"/>
  <c r="J14" i="22"/>
  <c r="I14" i="22"/>
  <c r="H14" i="22"/>
  <c r="G14" i="22"/>
  <c r="F14" i="22"/>
  <c r="E14" i="22"/>
  <c r="D14" i="22"/>
  <c r="C14" i="22"/>
  <c r="B14" i="22"/>
  <c r="Y13" i="22"/>
  <c r="X13" i="22"/>
  <c r="W13" i="22"/>
  <c r="V13" i="22"/>
  <c r="U13" i="22"/>
  <c r="T13" i="22"/>
  <c r="S13" i="22"/>
  <c r="R13" i="22"/>
  <c r="Q13" i="22"/>
  <c r="P13" i="22"/>
  <c r="O13" i="22"/>
  <c r="N13" i="22"/>
  <c r="M13" i="22"/>
  <c r="L13" i="22"/>
  <c r="K13" i="22"/>
  <c r="J13" i="22"/>
  <c r="I13" i="22"/>
  <c r="H13" i="22"/>
  <c r="G13" i="22"/>
  <c r="F13" i="22"/>
  <c r="E13" i="22"/>
  <c r="D13" i="22"/>
  <c r="C13" i="22"/>
  <c r="B13" i="22"/>
  <c r="Y12" i="22"/>
  <c r="X12" i="22"/>
  <c r="W12" i="22"/>
  <c r="V12" i="22"/>
  <c r="U12" i="22"/>
  <c r="T12" i="22"/>
  <c r="S12" i="22"/>
  <c r="R12" i="22"/>
  <c r="Q12" i="22"/>
  <c r="P12" i="22"/>
  <c r="O12" i="22"/>
  <c r="N12" i="22"/>
  <c r="M12" i="22"/>
  <c r="L12" i="22"/>
  <c r="K12" i="22"/>
  <c r="J12" i="22"/>
  <c r="I12" i="22"/>
  <c r="H12" i="22"/>
  <c r="G12" i="22"/>
  <c r="F12" i="22"/>
  <c r="E12" i="22"/>
  <c r="D12" i="22"/>
  <c r="C12" i="22"/>
  <c r="B12" i="22"/>
  <c r="Y11" i="22"/>
  <c r="X11" i="22"/>
  <c r="W11" i="22"/>
  <c r="V11" i="22"/>
  <c r="U11" i="22"/>
  <c r="T11" i="22"/>
  <c r="S11" i="22"/>
  <c r="R11" i="22"/>
  <c r="Q11" i="22"/>
  <c r="P11" i="22"/>
  <c r="O11" i="22"/>
  <c r="N11" i="22"/>
  <c r="M11" i="22"/>
  <c r="L11" i="22"/>
  <c r="K11" i="22"/>
  <c r="J11" i="22"/>
  <c r="I11" i="22"/>
  <c r="H11" i="22"/>
  <c r="G11" i="22"/>
  <c r="F11" i="22"/>
  <c r="E11" i="22"/>
  <c r="D11" i="22"/>
  <c r="C11" i="22"/>
  <c r="B11" i="22"/>
  <c r="Y10" i="22"/>
  <c r="X10" i="22"/>
  <c r="W10" i="22"/>
  <c r="V10" i="22"/>
  <c r="U10" i="22"/>
  <c r="T10" i="22"/>
  <c r="S10" i="22"/>
  <c r="R10" i="22"/>
  <c r="Q10" i="22"/>
  <c r="P10" i="22"/>
  <c r="O10" i="22"/>
  <c r="N10" i="22"/>
  <c r="M10" i="22"/>
  <c r="L10" i="22"/>
  <c r="K10" i="22"/>
  <c r="J10" i="22"/>
  <c r="I10" i="22"/>
  <c r="H10" i="22"/>
  <c r="G10" i="22"/>
  <c r="F10" i="22"/>
  <c r="E10" i="22"/>
  <c r="D10" i="22"/>
  <c r="C10" i="22"/>
  <c r="B10" i="22"/>
  <c r="Y9" i="22"/>
  <c r="X9" i="22"/>
  <c r="W9" i="22"/>
  <c r="V9" i="22"/>
  <c r="U9" i="22"/>
  <c r="T9" i="22"/>
  <c r="S9" i="22"/>
  <c r="R9" i="22"/>
  <c r="Q9" i="22"/>
  <c r="P9" i="22"/>
  <c r="O9" i="22"/>
  <c r="N9" i="22"/>
  <c r="M9" i="22"/>
  <c r="L9" i="22"/>
  <c r="K9" i="22"/>
  <c r="J9" i="22"/>
  <c r="I9" i="22"/>
  <c r="H9" i="22"/>
  <c r="G9" i="22"/>
  <c r="F9" i="22"/>
  <c r="E9" i="22"/>
  <c r="D9" i="22"/>
  <c r="C9" i="22"/>
  <c r="B9" i="22"/>
  <c r="Y8" i="22"/>
  <c r="X8" i="22"/>
  <c r="W8" i="22"/>
  <c r="V8" i="22"/>
  <c r="U8" i="22"/>
  <c r="T8" i="22"/>
  <c r="S8" i="22"/>
  <c r="R8" i="22"/>
  <c r="Q8" i="22"/>
  <c r="P8" i="22"/>
  <c r="O8" i="22"/>
  <c r="N8" i="22"/>
  <c r="M8" i="22"/>
  <c r="L8" i="22"/>
  <c r="K8" i="22"/>
  <c r="J8" i="22"/>
  <c r="I8" i="22"/>
  <c r="H8" i="22"/>
  <c r="G8" i="22"/>
  <c r="F8" i="22"/>
  <c r="E8" i="22"/>
  <c r="D8" i="22"/>
  <c r="C8" i="22"/>
  <c r="B8" i="22"/>
  <c r="Y7" i="22"/>
  <c r="X7" i="22"/>
  <c r="W7" i="22"/>
  <c r="V7" i="22"/>
  <c r="U7" i="22"/>
  <c r="T7" i="22"/>
  <c r="S7" i="22"/>
  <c r="R7" i="22"/>
  <c r="Q7" i="22"/>
  <c r="P7" i="22"/>
  <c r="O7" i="22"/>
  <c r="N7" i="22"/>
  <c r="M7" i="22"/>
  <c r="L7" i="22"/>
  <c r="K7" i="22"/>
  <c r="J7" i="22"/>
  <c r="I7" i="22"/>
  <c r="H7" i="22"/>
  <c r="G7" i="22"/>
  <c r="F7" i="22"/>
  <c r="E7" i="22"/>
  <c r="D7" i="22"/>
  <c r="C7" i="22"/>
  <c r="B7" i="22"/>
  <c r="Y6" i="22"/>
  <c r="X6" i="22"/>
  <c r="W6" i="22"/>
  <c r="V6" i="22"/>
  <c r="U6" i="22"/>
  <c r="T6" i="22"/>
  <c r="S6" i="22"/>
  <c r="R6" i="22"/>
  <c r="Q6" i="22"/>
  <c r="P6" i="22"/>
  <c r="O6" i="22"/>
  <c r="N6" i="22"/>
  <c r="M6" i="22"/>
  <c r="L6" i="22"/>
  <c r="K6" i="22"/>
  <c r="J6" i="22"/>
  <c r="I6" i="22"/>
  <c r="H6" i="22"/>
  <c r="G6" i="22"/>
  <c r="F6" i="22"/>
  <c r="E6" i="22"/>
  <c r="D6" i="22"/>
  <c r="C6" i="22"/>
  <c r="B6" i="22"/>
  <c r="Y5" i="22"/>
  <c r="X5" i="22"/>
  <c r="W5" i="22"/>
  <c r="V5" i="22"/>
  <c r="U5" i="22"/>
  <c r="T5" i="22"/>
  <c r="S5" i="22"/>
  <c r="R5" i="22"/>
  <c r="Q5" i="22"/>
  <c r="P5" i="22"/>
  <c r="O5" i="22"/>
  <c r="N5" i="22"/>
  <c r="M5" i="22"/>
  <c r="L5" i="22"/>
  <c r="K5" i="22"/>
  <c r="J5" i="22"/>
  <c r="I5" i="22"/>
  <c r="H5" i="22"/>
  <c r="G5" i="22"/>
  <c r="F5" i="22"/>
  <c r="E5" i="22"/>
  <c r="D5" i="22"/>
  <c r="C5" i="22"/>
  <c r="B5" i="22"/>
  <c r="Y4" i="22"/>
  <c r="X4" i="22"/>
  <c r="W4" i="22"/>
  <c r="V4" i="22"/>
  <c r="U4" i="22"/>
  <c r="T4" i="22"/>
  <c r="S4" i="22"/>
  <c r="R4" i="22"/>
  <c r="Q4" i="22"/>
  <c r="P4" i="22"/>
  <c r="O4" i="22"/>
  <c r="N4" i="22"/>
  <c r="M4" i="22"/>
  <c r="L4" i="22"/>
  <c r="K4" i="22"/>
  <c r="J4" i="22"/>
  <c r="I4" i="22"/>
  <c r="H4" i="22"/>
  <c r="G4" i="22"/>
  <c r="F4" i="22"/>
  <c r="E4" i="22"/>
  <c r="D4" i="22"/>
  <c r="C4" i="22"/>
  <c r="B4" i="22"/>
  <c r="Y3" i="22"/>
  <c r="X3" i="22"/>
  <c r="W3" i="22"/>
  <c r="V3" i="22"/>
  <c r="U3" i="22"/>
  <c r="T3" i="22"/>
  <c r="S3" i="22"/>
  <c r="R3" i="22"/>
  <c r="Q3" i="22"/>
  <c r="P3" i="22"/>
  <c r="O3" i="22"/>
  <c r="N3" i="22"/>
  <c r="M3" i="22"/>
  <c r="L3" i="22"/>
  <c r="K3" i="22"/>
  <c r="J3" i="22"/>
  <c r="I3" i="22"/>
  <c r="H3" i="22"/>
  <c r="G3" i="22"/>
  <c r="F3" i="22"/>
  <c r="E3" i="22"/>
  <c r="D3" i="22"/>
  <c r="C3" i="22"/>
  <c r="B3" i="22"/>
  <c r="P6" i="23"/>
  <c r="O6" i="23"/>
  <c r="N6" i="23"/>
  <c r="M6" i="23"/>
  <c r="L6" i="23"/>
  <c r="K6" i="23"/>
  <c r="J6" i="23"/>
  <c r="I6" i="23"/>
  <c r="H6" i="23"/>
  <c r="G6" i="23"/>
  <c r="F6" i="23"/>
  <c r="E6" i="23"/>
  <c r="D6" i="23"/>
  <c r="C6" i="23"/>
  <c r="B6" i="23"/>
  <c r="Y5" i="23"/>
  <c r="X5" i="23"/>
  <c r="W5" i="23"/>
  <c r="V5" i="23"/>
  <c r="U5" i="23"/>
  <c r="T5" i="23"/>
  <c r="S5" i="23"/>
  <c r="R5" i="23"/>
  <c r="Q5" i="23"/>
  <c r="P5" i="23"/>
  <c r="O5" i="23"/>
  <c r="N5" i="23"/>
  <c r="M5" i="23"/>
  <c r="L5" i="23"/>
  <c r="K5" i="23"/>
  <c r="J5" i="23"/>
  <c r="I5" i="23"/>
  <c r="H5" i="23"/>
  <c r="G5" i="23"/>
  <c r="F5" i="23"/>
  <c r="E5" i="23"/>
  <c r="D5" i="23"/>
  <c r="C5" i="23"/>
  <c r="B5" i="23"/>
  <c r="Y4" i="23"/>
  <c r="X4" i="23"/>
  <c r="W4" i="23"/>
  <c r="V4" i="23"/>
  <c r="U4" i="23"/>
  <c r="T4" i="23"/>
  <c r="S4" i="23"/>
  <c r="R4" i="23"/>
  <c r="Q4" i="23"/>
  <c r="P4" i="23"/>
  <c r="O4" i="23"/>
  <c r="N4" i="23"/>
  <c r="M4" i="23"/>
  <c r="L4" i="23"/>
  <c r="K4" i="23"/>
  <c r="J4" i="23"/>
  <c r="I4" i="23"/>
  <c r="H4" i="23"/>
  <c r="G4" i="23"/>
  <c r="F4" i="23"/>
  <c r="E4" i="23"/>
  <c r="D4" i="23"/>
  <c r="C4" i="23"/>
  <c r="B4" i="23"/>
  <c r="Y3" i="23"/>
  <c r="X3" i="23"/>
  <c r="W3" i="23"/>
  <c r="V3" i="23"/>
  <c r="U3" i="23"/>
  <c r="T3" i="23"/>
  <c r="S3" i="23"/>
  <c r="R3" i="23"/>
  <c r="Q3" i="23"/>
  <c r="P3" i="23"/>
  <c r="O3" i="23"/>
  <c r="N3" i="23"/>
  <c r="M3" i="23"/>
  <c r="L3" i="23"/>
  <c r="K3" i="23"/>
  <c r="J3" i="23"/>
  <c r="I3" i="23"/>
  <c r="H3" i="23"/>
  <c r="G3" i="23"/>
  <c r="F3" i="23"/>
  <c r="E3" i="23"/>
  <c r="D3" i="23"/>
  <c r="C3" i="23"/>
  <c r="B3" i="23"/>
  <c r="U7" i="24"/>
  <c r="T7" i="24"/>
  <c r="S7" i="24"/>
  <c r="R7" i="24"/>
  <c r="Q7" i="24"/>
  <c r="P7" i="24"/>
  <c r="O7" i="24"/>
  <c r="N7" i="24"/>
  <c r="M7" i="24"/>
  <c r="L7" i="24"/>
  <c r="K7" i="24"/>
  <c r="J7" i="24"/>
  <c r="I7" i="24"/>
  <c r="H7" i="24"/>
  <c r="G7" i="24"/>
  <c r="F7" i="24"/>
  <c r="E7" i="24"/>
  <c r="D7" i="24"/>
  <c r="C7" i="24"/>
  <c r="B7" i="24"/>
  <c r="Y6" i="24"/>
  <c r="X6" i="24"/>
  <c r="W6" i="24"/>
  <c r="V6" i="24"/>
  <c r="U6" i="24"/>
  <c r="T6" i="24"/>
  <c r="S6" i="24"/>
  <c r="R6" i="24"/>
  <c r="Q6" i="24"/>
  <c r="P6" i="24"/>
  <c r="O6" i="24"/>
  <c r="N6" i="24"/>
  <c r="M6" i="24"/>
  <c r="L6" i="24"/>
  <c r="K6" i="24"/>
  <c r="J6" i="24"/>
  <c r="I6" i="24"/>
  <c r="H6" i="24"/>
  <c r="G6" i="24"/>
  <c r="F6" i="24"/>
  <c r="E6" i="24"/>
  <c r="D6" i="24"/>
  <c r="C6" i="24"/>
  <c r="B6" i="24"/>
  <c r="Y5" i="24"/>
  <c r="X5" i="24"/>
  <c r="W5" i="24"/>
  <c r="V5" i="24"/>
  <c r="U5" i="24"/>
  <c r="T5" i="24"/>
  <c r="S5" i="24"/>
  <c r="R5" i="24"/>
  <c r="Z5" i="24" s="1"/>
  <c r="Q5" i="24"/>
  <c r="P5" i="24"/>
  <c r="O5" i="24"/>
  <c r="N5" i="24"/>
  <c r="M5" i="24"/>
  <c r="L5" i="24"/>
  <c r="K5" i="24"/>
  <c r="J5" i="24"/>
  <c r="I5" i="24"/>
  <c r="H5" i="24"/>
  <c r="G5" i="24"/>
  <c r="F5" i="24"/>
  <c r="E5" i="24"/>
  <c r="D5" i="24"/>
  <c r="C5" i="24"/>
  <c r="B5" i="24"/>
  <c r="Y4" i="24"/>
  <c r="X4" i="24"/>
  <c r="W4" i="24"/>
  <c r="V4" i="24"/>
  <c r="U4" i="24"/>
  <c r="T4" i="24"/>
  <c r="S4" i="24"/>
  <c r="R4" i="24"/>
  <c r="Z4" i="24" s="1"/>
  <c r="Q4" i="24"/>
  <c r="P4" i="24"/>
  <c r="O4" i="24"/>
  <c r="N4" i="24"/>
  <c r="M4" i="24"/>
  <c r="L4" i="24"/>
  <c r="K4" i="24"/>
  <c r="J4" i="24"/>
  <c r="I4" i="24"/>
  <c r="H4" i="24"/>
  <c r="G4" i="24"/>
  <c r="F4" i="24"/>
  <c r="E4" i="24"/>
  <c r="D4" i="24"/>
  <c r="C4" i="24"/>
  <c r="B4" i="24"/>
  <c r="Y3" i="24"/>
  <c r="X3" i="24"/>
  <c r="W3" i="24"/>
  <c r="V3" i="24"/>
  <c r="U3" i="24"/>
  <c r="T3" i="24"/>
  <c r="S3" i="24"/>
  <c r="R3" i="24"/>
  <c r="Z3" i="24" s="1"/>
  <c r="Q3" i="24"/>
  <c r="P3" i="24"/>
  <c r="O3" i="24"/>
  <c r="N3" i="24"/>
  <c r="M3" i="24"/>
  <c r="L3" i="24"/>
  <c r="K3" i="24"/>
  <c r="J3" i="24"/>
  <c r="I3" i="24"/>
  <c r="H3" i="24"/>
  <c r="G3" i="24"/>
  <c r="F3" i="24"/>
  <c r="E3" i="24"/>
  <c r="D3" i="24"/>
  <c r="C3" i="24"/>
  <c r="B3" i="24"/>
  <c r="B45" i="27"/>
  <c r="B44" i="27"/>
  <c r="B40" i="27"/>
  <c r="B39" i="27"/>
  <c r="B34" i="27"/>
  <c r="B33" i="27"/>
  <c r="B32" i="27"/>
  <c r="B31" i="27"/>
  <c r="B30" i="27"/>
  <c r="C26" i="27"/>
  <c r="B26" i="27"/>
  <c r="B25" i="27"/>
  <c r="B24" i="27"/>
  <c r="B23" i="27"/>
  <c r="B22" i="27"/>
  <c r="G17" i="27"/>
  <c r="F17" i="27"/>
  <c r="C17" i="27"/>
  <c r="B17" i="27"/>
  <c r="G16" i="27"/>
  <c r="F16" i="27"/>
  <c r="C16" i="27"/>
  <c r="B16" i="27"/>
  <c r="G15" i="27"/>
  <c r="F15" i="27"/>
  <c r="C15" i="27"/>
  <c r="B15" i="27"/>
  <c r="C8" i="27"/>
  <c r="B8" i="27"/>
  <c r="C7" i="27"/>
  <c r="B7" i="27"/>
  <c r="C6" i="27"/>
  <c r="B6" i="27"/>
  <c r="C5" i="27"/>
  <c r="B5" i="27"/>
  <c r="C4" i="27"/>
  <c r="B4" i="27"/>
  <c r="B17" i="11"/>
  <c r="B16" i="11"/>
  <c r="B15" i="11"/>
  <c r="B14" i="11"/>
  <c r="B13" i="11"/>
  <c r="R8" i="11"/>
  <c r="Q8" i="11"/>
  <c r="N8" i="11"/>
  <c r="M8" i="11"/>
  <c r="L8" i="11"/>
  <c r="K8" i="11"/>
  <c r="J8" i="11"/>
  <c r="I8" i="11"/>
  <c r="H8" i="11"/>
  <c r="G8" i="11"/>
  <c r="F8" i="11"/>
  <c r="E8" i="11"/>
  <c r="D8" i="11"/>
  <c r="C8" i="11"/>
  <c r="M106" i="8"/>
  <c r="J106" i="8"/>
  <c r="Q105" i="8"/>
  <c r="Q104" i="8"/>
  <c r="P104" i="8"/>
  <c r="N104" i="8"/>
  <c r="J104" i="8"/>
  <c r="I104" i="8"/>
  <c r="H104" i="8"/>
  <c r="G104" i="8"/>
  <c r="F104" i="8"/>
  <c r="E104" i="8"/>
  <c r="D104" i="8"/>
  <c r="B104" i="8"/>
  <c r="Q103" i="8"/>
  <c r="O103" i="8"/>
  <c r="N103" i="8"/>
  <c r="J103" i="8"/>
  <c r="I103" i="8"/>
  <c r="H103" i="8"/>
  <c r="G103" i="8"/>
  <c r="F103" i="8"/>
  <c r="E103" i="8"/>
  <c r="D103" i="8"/>
  <c r="B103" i="8"/>
  <c r="Q102" i="8"/>
  <c r="P102" i="8"/>
  <c r="O102" i="8"/>
  <c r="N102" i="8"/>
  <c r="M102" i="8"/>
  <c r="L102" i="8"/>
  <c r="J102" i="8"/>
  <c r="I102" i="8"/>
  <c r="H102" i="8"/>
  <c r="G102" i="8"/>
  <c r="F102" i="8"/>
  <c r="E102" i="8"/>
  <c r="D102" i="8"/>
  <c r="C102" i="8"/>
  <c r="Q99" i="8"/>
  <c r="M99" i="8"/>
  <c r="J99" i="8"/>
  <c r="Q98" i="8"/>
  <c r="Q97" i="8"/>
  <c r="P97" i="8"/>
  <c r="N97" i="8"/>
  <c r="J97" i="8"/>
  <c r="I97" i="8"/>
  <c r="H97" i="8"/>
  <c r="G97" i="8"/>
  <c r="F97" i="8"/>
  <c r="E97" i="8"/>
  <c r="D97" i="8"/>
  <c r="B97" i="8"/>
  <c r="Q96" i="8"/>
  <c r="O96" i="8"/>
  <c r="N96" i="8"/>
  <c r="J96" i="8"/>
  <c r="I96" i="8"/>
  <c r="H96" i="8"/>
  <c r="G96" i="8"/>
  <c r="F96" i="8"/>
  <c r="E96" i="8"/>
  <c r="D96" i="8"/>
  <c r="B96" i="8"/>
  <c r="Q95" i="8"/>
  <c r="P95" i="8"/>
  <c r="O95" i="8"/>
  <c r="N95" i="8"/>
  <c r="M95" i="8"/>
  <c r="L95" i="8"/>
  <c r="J95" i="8"/>
  <c r="I95" i="8"/>
  <c r="H95" i="8"/>
  <c r="G95" i="8"/>
  <c r="F95" i="8"/>
  <c r="E95" i="8"/>
  <c r="D95" i="8"/>
  <c r="C95" i="8"/>
  <c r="H89" i="8"/>
  <c r="D89" i="8"/>
  <c r="C89" i="8"/>
  <c r="B89" i="8"/>
  <c r="G88" i="8"/>
  <c r="D88" i="8"/>
  <c r="C88" i="8"/>
  <c r="B88" i="8"/>
  <c r="H87" i="8"/>
  <c r="G87" i="8"/>
  <c r="E87" i="8"/>
  <c r="D87" i="8"/>
  <c r="C87" i="8"/>
  <c r="H82" i="8"/>
  <c r="D82" i="8"/>
  <c r="C82" i="8"/>
  <c r="B82" i="8"/>
  <c r="G81" i="8"/>
  <c r="D81" i="8"/>
  <c r="C81" i="8"/>
  <c r="B81" i="8"/>
  <c r="H80" i="8"/>
  <c r="G80" i="8"/>
  <c r="E80" i="8"/>
  <c r="D80" i="8"/>
  <c r="C80" i="8"/>
  <c r="Q76" i="8"/>
  <c r="M76" i="8"/>
  <c r="J76" i="8"/>
  <c r="Q75" i="8"/>
  <c r="Q74" i="8"/>
  <c r="P74" i="8"/>
  <c r="N74" i="8"/>
  <c r="J74" i="8"/>
  <c r="I74" i="8"/>
  <c r="H74" i="8"/>
  <c r="G74" i="8"/>
  <c r="F74" i="8"/>
  <c r="E74" i="8"/>
  <c r="D74" i="8"/>
  <c r="B74" i="8"/>
  <c r="Q73" i="8"/>
  <c r="O73" i="8"/>
  <c r="N73" i="8"/>
  <c r="J73" i="8"/>
  <c r="I73" i="8"/>
  <c r="H73" i="8"/>
  <c r="G73" i="8"/>
  <c r="F73" i="8"/>
  <c r="E73" i="8"/>
  <c r="D73" i="8"/>
  <c r="B73" i="8"/>
  <c r="Q72" i="8"/>
  <c r="P72" i="8"/>
  <c r="O72" i="8"/>
  <c r="N72" i="8"/>
  <c r="M72" i="8"/>
  <c r="L72" i="8"/>
  <c r="J72" i="8"/>
  <c r="I72" i="8"/>
  <c r="H72" i="8"/>
  <c r="G72" i="8"/>
  <c r="F72" i="8"/>
  <c r="E72" i="8"/>
  <c r="D72" i="8"/>
  <c r="C72" i="8"/>
  <c r="Q69" i="8"/>
  <c r="M69" i="8"/>
  <c r="J69" i="8"/>
  <c r="Q68" i="8"/>
  <c r="Q67" i="8"/>
  <c r="P67" i="8"/>
  <c r="N67" i="8"/>
  <c r="J67" i="8"/>
  <c r="I67" i="8"/>
  <c r="H67" i="8"/>
  <c r="G67" i="8"/>
  <c r="F67" i="8"/>
  <c r="E67" i="8"/>
  <c r="D67" i="8"/>
  <c r="B67" i="8"/>
  <c r="Q66" i="8"/>
  <c r="O66" i="8"/>
  <c r="N66" i="8"/>
  <c r="J66" i="8"/>
  <c r="I66" i="8"/>
  <c r="H66" i="8"/>
  <c r="G66" i="8"/>
  <c r="F66" i="8"/>
  <c r="E66" i="8"/>
  <c r="D66" i="8"/>
  <c r="B66" i="8"/>
  <c r="Q65" i="8"/>
  <c r="P65" i="8"/>
  <c r="O65" i="8"/>
  <c r="N65" i="8"/>
  <c r="M65" i="8"/>
  <c r="L65" i="8"/>
  <c r="J65" i="8"/>
  <c r="I65" i="8"/>
  <c r="H65" i="8"/>
  <c r="G65" i="8"/>
  <c r="F65" i="8"/>
  <c r="E65" i="8"/>
  <c r="D65" i="8"/>
  <c r="C65" i="8"/>
  <c r="H59" i="8"/>
  <c r="D59" i="8"/>
  <c r="C59" i="8"/>
  <c r="B59" i="8"/>
  <c r="G58" i="8"/>
  <c r="D58" i="8"/>
  <c r="C58" i="8"/>
  <c r="B58" i="8"/>
  <c r="H57" i="8"/>
  <c r="G57" i="8"/>
  <c r="E57" i="8"/>
  <c r="D57" i="8"/>
  <c r="C57" i="8"/>
  <c r="H52" i="8"/>
  <c r="D52" i="8"/>
  <c r="C52" i="8"/>
  <c r="B52" i="8"/>
  <c r="G51" i="8"/>
  <c r="D51" i="8"/>
  <c r="C51" i="8"/>
  <c r="B51" i="8"/>
  <c r="H50" i="8"/>
  <c r="G50" i="8"/>
  <c r="E50" i="8"/>
  <c r="D50" i="8"/>
  <c r="C50" i="8"/>
  <c r="R46" i="8"/>
  <c r="Q46" i="8"/>
  <c r="P46" i="8"/>
  <c r="O46" i="8"/>
  <c r="N46" i="8"/>
  <c r="M46" i="8"/>
  <c r="L46" i="8"/>
  <c r="K46" i="8"/>
  <c r="J46" i="8"/>
  <c r="I46" i="8"/>
  <c r="H46" i="8"/>
  <c r="G46" i="8"/>
  <c r="F46" i="8"/>
  <c r="E46" i="8"/>
  <c r="D46" i="8"/>
  <c r="C46" i="8"/>
  <c r="B46" i="8"/>
  <c r="R45" i="8"/>
  <c r="Q45" i="8"/>
  <c r="P45" i="8"/>
  <c r="O45" i="8"/>
  <c r="N45" i="8"/>
  <c r="M45" i="8"/>
  <c r="L45" i="8"/>
  <c r="K45" i="8"/>
  <c r="J45" i="8"/>
  <c r="I45" i="8"/>
  <c r="H45" i="8"/>
  <c r="G45" i="8"/>
  <c r="F45" i="8"/>
  <c r="E45" i="8"/>
  <c r="D45" i="8"/>
  <c r="C45" i="8"/>
  <c r="B45" i="8"/>
  <c r="R44" i="8"/>
  <c r="Q44" i="8"/>
  <c r="P44" i="8"/>
  <c r="O44" i="8"/>
  <c r="N44" i="8"/>
  <c r="M44" i="8"/>
  <c r="L44" i="8"/>
  <c r="K44" i="8"/>
  <c r="J44" i="8"/>
  <c r="I44" i="8"/>
  <c r="H44" i="8"/>
  <c r="G44" i="8"/>
  <c r="F44" i="8"/>
  <c r="E44" i="8"/>
  <c r="D44" i="8"/>
  <c r="C44" i="8"/>
  <c r="B44" i="8"/>
  <c r="R43" i="8"/>
  <c r="Q43" i="8"/>
  <c r="P43" i="8"/>
  <c r="O43" i="8"/>
  <c r="N43" i="8"/>
  <c r="M43" i="8"/>
  <c r="L43" i="8"/>
  <c r="K43" i="8"/>
  <c r="J43" i="8"/>
  <c r="I43" i="8"/>
  <c r="H43" i="8"/>
  <c r="G43" i="8"/>
  <c r="F43" i="8"/>
  <c r="E43" i="8"/>
  <c r="D43" i="8"/>
  <c r="C43" i="8"/>
  <c r="B43" i="8"/>
  <c r="R42" i="8"/>
  <c r="Q42" i="8"/>
  <c r="P42" i="8"/>
  <c r="O42" i="8"/>
  <c r="N42" i="8"/>
  <c r="M42" i="8"/>
  <c r="L42" i="8"/>
  <c r="K42" i="8"/>
  <c r="J42" i="8"/>
  <c r="I42" i="8"/>
  <c r="H42" i="8"/>
  <c r="G42" i="8"/>
  <c r="F42" i="8"/>
  <c r="E42" i="8"/>
  <c r="D42" i="8"/>
  <c r="C42" i="8"/>
  <c r="B42" i="8"/>
  <c r="I39" i="8"/>
  <c r="H39" i="8"/>
  <c r="G39" i="8"/>
  <c r="F39" i="8"/>
  <c r="E39" i="8"/>
  <c r="D39" i="8"/>
  <c r="C39" i="8"/>
  <c r="B39" i="8"/>
  <c r="I38" i="8"/>
  <c r="H38" i="8"/>
  <c r="G38" i="8"/>
  <c r="F38" i="8"/>
  <c r="E38" i="8"/>
  <c r="D38" i="8"/>
  <c r="C38" i="8"/>
  <c r="B38" i="8"/>
  <c r="I37" i="8"/>
  <c r="H37" i="8"/>
  <c r="G37" i="8"/>
  <c r="F37" i="8"/>
  <c r="E37" i="8"/>
  <c r="D37" i="8"/>
  <c r="C37" i="8"/>
  <c r="B37" i="8"/>
  <c r="I36" i="8"/>
  <c r="H36" i="8"/>
  <c r="G36" i="8"/>
  <c r="F36" i="8"/>
  <c r="E36" i="8"/>
  <c r="D36" i="8"/>
  <c r="C36" i="8"/>
  <c r="B36" i="8"/>
  <c r="I35" i="8"/>
  <c r="H35" i="8"/>
  <c r="G35" i="8"/>
  <c r="F35" i="8"/>
  <c r="E35" i="8"/>
  <c r="D35" i="8"/>
  <c r="C35" i="8"/>
  <c r="B35" i="8"/>
  <c r="G19" i="8"/>
  <c r="F19" i="8"/>
  <c r="C19" i="8"/>
  <c r="B19" i="8"/>
  <c r="G18" i="8"/>
  <c r="F18" i="8"/>
  <c r="C18" i="8"/>
  <c r="B18" i="8"/>
  <c r="G17" i="8"/>
  <c r="G20" i="8" s="1"/>
  <c r="F17" i="8"/>
  <c r="F20" i="8" s="1"/>
  <c r="C17" i="8"/>
  <c r="B17" i="8"/>
  <c r="C8" i="8"/>
  <c r="B8" i="8"/>
  <c r="C7" i="8"/>
  <c r="B7" i="8"/>
  <c r="C6" i="8"/>
  <c r="B6" i="8"/>
  <c r="C5" i="8"/>
  <c r="B5" i="8"/>
  <c r="C4" i="8"/>
  <c r="B4" i="8"/>
  <c r="BL170" i="4"/>
  <c r="BK170" i="4"/>
  <c r="BJ170" i="4"/>
  <c r="BI170" i="4"/>
  <c r="BH170" i="4"/>
  <c r="BG170" i="4"/>
  <c r="BF170" i="4"/>
  <c r="BE170" i="4"/>
  <c r="BD170" i="4"/>
  <c r="BC170" i="4"/>
  <c r="BV169" i="4"/>
  <c r="BU169" i="4"/>
  <c r="BT169" i="4"/>
  <c r="BS169" i="4"/>
  <c r="BR169" i="4"/>
  <c r="BQ169" i="4"/>
  <c r="BP169" i="4"/>
  <c r="BO169" i="4"/>
  <c r="BN169" i="4"/>
  <c r="BM169" i="4"/>
  <c r="BL169" i="4"/>
  <c r="BK169" i="4"/>
  <c r="BJ169" i="4"/>
  <c r="BI169" i="4"/>
  <c r="BH169" i="4"/>
  <c r="BG169" i="4"/>
  <c r="BF169" i="4"/>
  <c r="BE169" i="4"/>
  <c r="BD169" i="4"/>
  <c r="BC169" i="4"/>
  <c r="BV168" i="4"/>
  <c r="BU168" i="4"/>
  <c r="BT168" i="4"/>
  <c r="BS168" i="4"/>
  <c r="BR168" i="4"/>
  <c r="BQ168" i="4"/>
  <c r="BP168" i="4"/>
  <c r="BO168" i="4"/>
  <c r="BN168" i="4"/>
  <c r="BM168" i="4"/>
  <c r="BL168" i="4"/>
  <c r="BK168" i="4"/>
  <c r="BJ168" i="4"/>
  <c r="BI168" i="4"/>
  <c r="BH168" i="4"/>
  <c r="BG168" i="4"/>
  <c r="BF168" i="4"/>
  <c r="BE168" i="4"/>
  <c r="BD168" i="4"/>
  <c r="BC168" i="4"/>
  <c r="BV167" i="4"/>
  <c r="BU167" i="4"/>
  <c r="BT167" i="4"/>
  <c r="BS167" i="4"/>
  <c r="BR167" i="4"/>
  <c r="BQ167" i="4"/>
  <c r="BP167" i="4"/>
  <c r="BO167" i="4"/>
  <c r="BN167" i="4"/>
  <c r="BM167" i="4"/>
  <c r="BL167" i="4"/>
  <c r="BK167" i="4"/>
  <c r="BJ167" i="4"/>
  <c r="BI167" i="4"/>
  <c r="BH167" i="4"/>
  <c r="BG167" i="4"/>
  <c r="BF167" i="4"/>
  <c r="BE167" i="4"/>
  <c r="BD167" i="4"/>
  <c r="BC167" i="4"/>
  <c r="BV166" i="4"/>
  <c r="BU166" i="4"/>
  <c r="BT166" i="4"/>
  <c r="BS166" i="4"/>
  <c r="BR166" i="4"/>
  <c r="BQ166" i="4"/>
  <c r="BP166" i="4"/>
  <c r="BO166" i="4"/>
  <c r="BN166" i="4"/>
  <c r="BM166" i="4"/>
  <c r="BL166" i="4"/>
  <c r="BK166" i="4"/>
  <c r="BJ166" i="4"/>
  <c r="BI166" i="4"/>
  <c r="BH166" i="4"/>
  <c r="BG166" i="4"/>
  <c r="BF166" i="4"/>
  <c r="BE166" i="4"/>
  <c r="BD166" i="4"/>
  <c r="BC166" i="4"/>
  <c r="BV165" i="4"/>
  <c r="BU165" i="4"/>
  <c r="BT165" i="4"/>
  <c r="BS165" i="4"/>
  <c r="BR165" i="4"/>
  <c r="BQ165" i="4"/>
  <c r="BP165" i="4"/>
  <c r="BO165" i="4"/>
  <c r="BN165" i="4"/>
  <c r="BM165" i="4"/>
  <c r="BL165" i="4"/>
  <c r="BK165" i="4"/>
  <c r="BJ165" i="4"/>
  <c r="BI165" i="4"/>
  <c r="BH165" i="4"/>
  <c r="BG165" i="4"/>
  <c r="BF165" i="4"/>
  <c r="BE165" i="4"/>
  <c r="BD165" i="4"/>
  <c r="BC165" i="4"/>
  <c r="BV164" i="4"/>
  <c r="BU164" i="4"/>
  <c r="BT164" i="4"/>
  <c r="BS164" i="4"/>
  <c r="BR164" i="4"/>
  <c r="BQ164" i="4"/>
  <c r="BP164" i="4"/>
  <c r="BO164" i="4"/>
  <c r="BN164" i="4"/>
  <c r="BM164" i="4"/>
  <c r="BL164" i="4"/>
  <c r="BK164" i="4"/>
  <c r="BJ164" i="4"/>
  <c r="BI164" i="4"/>
  <c r="BH164" i="4"/>
  <c r="BG164" i="4"/>
  <c r="BF164" i="4"/>
  <c r="BE164" i="4"/>
  <c r="BD164" i="4"/>
  <c r="BC164" i="4"/>
  <c r="BV163" i="4"/>
  <c r="BU163" i="4"/>
  <c r="BT163" i="4"/>
  <c r="BS163" i="4"/>
  <c r="BR163" i="4"/>
  <c r="BQ163" i="4"/>
  <c r="BP163" i="4"/>
  <c r="BO163" i="4"/>
  <c r="BN163" i="4"/>
  <c r="BM163" i="4"/>
  <c r="BL163" i="4"/>
  <c r="BK163" i="4"/>
  <c r="BJ163" i="4"/>
  <c r="BI163" i="4"/>
  <c r="BH163" i="4"/>
  <c r="BG163" i="4"/>
  <c r="BF163" i="4"/>
  <c r="BE163" i="4"/>
  <c r="BD163" i="4"/>
  <c r="BC163" i="4"/>
  <c r="BV162" i="4"/>
  <c r="BU162" i="4"/>
  <c r="BT162" i="4"/>
  <c r="BS162" i="4"/>
  <c r="BR162" i="4"/>
  <c r="BQ162" i="4"/>
  <c r="BP162" i="4"/>
  <c r="BO162" i="4"/>
  <c r="BN162" i="4"/>
  <c r="BM162" i="4"/>
  <c r="BL162" i="4"/>
  <c r="BK162" i="4"/>
  <c r="BJ162" i="4"/>
  <c r="BI162" i="4"/>
  <c r="BH162" i="4"/>
  <c r="BG162" i="4"/>
  <c r="BF162" i="4"/>
  <c r="BE162" i="4"/>
  <c r="BD162" i="4"/>
  <c r="BC162" i="4"/>
  <c r="BV161" i="4"/>
  <c r="BU161" i="4"/>
  <c r="BT161" i="4"/>
  <c r="BS161" i="4"/>
  <c r="BR161" i="4"/>
  <c r="BQ161" i="4"/>
  <c r="BP161" i="4"/>
  <c r="BO161" i="4"/>
  <c r="BN161" i="4"/>
  <c r="BM161" i="4"/>
  <c r="BL161" i="4"/>
  <c r="BK161" i="4"/>
  <c r="BJ161" i="4"/>
  <c r="BI161" i="4"/>
  <c r="BH161" i="4"/>
  <c r="BG161" i="4"/>
  <c r="BF161" i="4"/>
  <c r="BE161" i="4"/>
  <c r="BD161" i="4"/>
  <c r="BC161" i="4"/>
  <c r="BV160" i="4"/>
  <c r="BU160" i="4"/>
  <c r="BT160" i="4"/>
  <c r="BS160" i="4"/>
  <c r="BR160" i="4"/>
  <c r="BQ160" i="4"/>
  <c r="BP160" i="4"/>
  <c r="BO160" i="4"/>
  <c r="BN160" i="4"/>
  <c r="BM160" i="4"/>
  <c r="BL160" i="4"/>
  <c r="BK160" i="4"/>
  <c r="BJ160" i="4"/>
  <c r="BI160" i="4"/>
  <c r="BH160" i="4"/>
  <c r="BG160" i="4"/>
  <c r="BF160" i="4"/>
  <c r="BE160" i="4"/>
  <c r="BD160" i="4"/>
  <c r="BC160" i="4"/>
  <c r="BV159" i="4"/>
  <c r="BU159" i="4"/>
  <c r="BT159" i="4"/>
  <c r="BS159" i="4"/>
  <c r="BR159" i="4"/>
  <c r="BQ159" i="4"/>
  <c r="BP159" i="4"/>
  <c r="BO159" i="4"/>
  <c r="BN159" i="4"/>
  <c r="BM159" i="4"/>
  <c r="BL159" i="4"/>
  <c r="BK159" i="4"/>
  <c r="BJ159" i="4"/>
  <c r="BI159" i="4"/>
  <c r="BH159" i="4"/>
  <c r="BG159" i="4"/>
  <c r="BF159" i="4"/>
  <c r="BE159" i="4"/>
  <c r="BD159" i="4"/>
  <c r="BC159" i="4"/>
  <c r="BV158" i="4"/>
  <c r="BU158" i="4"/>
  <c r="BT158" i="4"/>
  <c r="BS158" i="4"/>
  <c r="BR158" i="4"/>
  <c r="BQ158" i="4"/>
  <c r="BP158" i="4"/>
  <c r="BO158" i="4"/>
  <c r="BN158" i="4"/>
  <c r="BM158" i="4"/>
  <c r="BL158" i="4"/>
  <c r="BK158" i="4"/>
  <c r="BJ158" i="4"/>
  <c r="BI158" i="4"/>
  <c r="BH158" i="4"/>
  <c r="BG158" i="4"/>
  <c r="BF158" i="4"/>
  <c r="BE158" i="4"/>
  <c r="BD158" i="4"/>
  <c r="BC158" i="4"/>
  <c r="BV157" i="4"/>
  <c r="BU157" i="4"/>
  <c r="BT157" i="4"/>
  <c r="BS157" i="4"/>
  <c r="BR157" i="4"/>
  <c r="BQ157" i="4"/>
  <c r="BP157" i="4"/>
  <c r="BO157" i="4"/>
  <c r="BN157" i="4"/>
  <c r="BM157" i="4"/>
  <c r="BL157" i="4"/>
  <c r="BK157" i="4"/>
  <c r="BJ157" i="4"/>
  <c r="BI157" i="4"/>
  <c r="BH157" i="4"/>
  <c r="BG157" i="4"/>
  <c r="BF157" i="4"/>
  <c r="BE157" i="4"/>
  <c r="BD157" i="4"/>
  <c r="BC157" i="4"/>
  <c r="BV156" i="4"/>
  <c r="BU156" i="4"/>
  <c r="BT156" i="4"/>
  <c r="BS156" i="4"/>
  <c r="BR156" i="4"/>
  <c r="BQ156" i="4"/>
  <c r="BP156" i="4"/>
  <c r="BO156" i="4"/>
  <c r="BN156" i="4"/>
  <c r="BM156" i="4"/>
  <c r="BL156" i="4"/>
  <c r="BK156" i="4"/>
  <c r="BJ156" i="4"/>
  <c r="BI156" i="4"/>
  <c r="BH156" i="4"/>
  <c r="BG156" i="4"/>
  <c r="BF156" i="4"/>
  <c r="BE156" i="4"/>
  <c r="BD156" i="4"/>
  <c r="BC156" i="4"/>
  <c r="BV155" i="4"/>
  <c r="BU155" i="4"/>
  <c r="BT155" i="4"/>
  <c r="BS155" i="4"/>
  <c r="BR155" i="4"/>
  <c r="BQ155" i="4"/>
  <c r="BP155" i="4"/>
  <c r="BO155" i="4"/>
  <c r="BN155" i="4"/>
  <c r="BM155" i="4"/>
  <c r="BL155" i="4"/>
  <c r="BK155" i="4"/>
  <c r="BJ155" i="4"/>
  <c r="BI155" i="4"/>
  <c r="BH155" i="4"/>
  <c r="BG155" i="4"/>
  <c r="BF155" i="4"/>
  <c r="BE155" i="4"/>
  <c r="BD155" i="4"/>
  <c r="BC155" i="4"/>
  <c r="BV154" i="4"/>
  <c r="BU154" i="4"/>
  <c r="BT154" i="4"/>
  <c r="BS154" i="4"/>
  <c r="BR154" i="4"/>
  <c r="BQ154" i="4"/>
  <c r="BP154" i="4"/>
  <c r="BO154" i="4"/>
  <c r="BN154" i="4"/>
  <c r="BM154" i="4"/>
  <c r="BL154" i="4"/>
  <c r="BK154" i="4"/>
  <c r="BJ154" i="4"/>
  <c r="BI154" i="4"/>
  <c r="BH154" i="4"/>
  <c r="BG154" i="4"/>
  <c r="BF154" i="4"/>
  <c r="BE154" i="4"/>
  <c r="BD154" i="4"/>
  <c r="BC154" i="4"/>
  <c r="BV153" i="4"/>
  <c r="BU153" i="4"/>
  <c r="BT153" i="4"/>
  <c r="BS153" i="4"/>
  <c r="BR153" i="4"/>
  <c r="BQ153" i="4"/>
  <c r="BP153" i="4"/>
  <c r="BO153" i="4"/>
  <c r="BN153" i="4"/>
  <c r="BM153" i="4"/>
  <c r="BL153" i="4"/>
  <c r="BK153" i="4"/>
  <c r="BJ153" i="4"/>
  <c r="BI153" i="4"/>
  <c r="BH153" i="4"/>
  <c r="BG153" i="4"/>
  <c r="BF153" i="4"/>
  <c r="BE153" i="4"/>
  <c r="BD153" i="4"/>
  <c r="BC153" i="4"/>
  <c r="BV152" i="4"/>
  <c r="BU152" i="4"/>
  <c r="BT152" i="4"/>
  <c r="BS152" i="4"/>
  <c r="BR152" i="4"/>
  <c r="BQ152" i="4"/>
  <c r="BP152" i="4"/>
  <c r="BO152" i="4"/>
  <c r="BN152" i="4"/>
  <c r="BM152" i="4"/>
  <c r="BL152" i="4"/>
  <c r="BK152" i="4"/>
  <c r="BJ152" i="4"/>
  <c r="BI152" i="4"/>
  <c r="BH152" i="4"/>
  <c r="BG152" i="4"/>
  <c r="BF152" i="4"/>
  <c r="BE152" i="4"/>
  <c r="BD152" i="4"/>
  <c r="BC152" i="4"/>
  <c r="BV151" i="4"/>
  <c r="BU151" i="4"/>
  <c r="BT151" i="4"/>
  <c r="BS151" i="4"/>
  <c r="BR151" i="4"/>
  <c r="BQ151" i="4"/>
  <c r="BP151" i="4"/>
  <c r="BO151" i="4"/>
  <c r="BN151" i="4"/>
  <c r="BM151" i="4"/>
  <c r="BL151" i="4"/>
  <c r="BK151" i="4"/>
  <c r="BJ151" i="4"/>
  <c r="BI151" i="4"/>
  <c r="BH151" i="4"/>
  <c r="BG151" i="4"/>
  <c r="BF151" i="4"/>
  <c r="BE151" i="4"/>
  <c r="BD151" i="4"/>
  <c r="BC151" i="4"/>
  <c r="BV150" i="4"/>
  <c r="BU150" i="4"/>
  <c r="BT150" i="4"/>
  <c r="BS150" i="4"/>
  <c r="BR150" i="4"/>
  <c r="BQ150" i="4"/>
  <c r="BP150" i="4"/>
  <c r="BO150" i="4"/>
  <c r="BN150" i="4"/>
  <c r="BM150" i="4"/>
  <c r="BL150" i="4"/>
  <c r="BK150" i="4"/>
  <c r="BJ150" i="4"/>
  <c r="BI150" i="4"/>
  <c r="BH150" i="4"/>
  <c r="BG150" i="4"/>
  <c r="BF150" i="4"/>
  <c r="BE150" i="4"/>
  <c r="BD150" i="4"/>
  <c r="BC150" i="4"/>
  <c r="BV149" i="4"/>
  <c r="BU149" i="4"/>
  <c r="BT149" i="4"/>
  <c r="BS149" i="4"/>
  <c r="BR149" i="4"/>
  <c r="BQ149" i="4"/>
  <c r="BP149" i="4"/>
  <c r="BO149" i="4"/>
  <c r="BN149" i="4"/>
  <c r="BM149" i="4"/>
  <c r="BL149" i="4"/>
  <c r="BK149" i="4"/>
  <c r="BJ149" i="4"/>
  <c r="BI149" i="4"/>
  <c r="BH149" i="4"/>
  <c r="BG149" i="4"/>
  <c r="BF149" i="4"/>
  <c r="BE149" i="4"/>
  <c r="BD149" i="4"/>
  <c r="BC149" i="4"/>
  <c r="BV148" i="4"/>
  <c r="BU148" i="4"/>
  <c r="BT148" i="4"/>
  <c r="BS148" i="4"/>
  <c r="BR148" i="4"/>
  <c r="BQ148" i="4"/>
  <c r="BP148" i="4"/>
  <c r="BO148" i="4"/>
  <c r="BN148" i="4"/>
  <c r="BM148" i="4"/>
  <c r="BL148" i="4"/>
  <c r="BK148" i="4"/>
  <c r="O67" i="8" s="1"/>
  <c r="BJ148" i="4"/>
  <c r="O74" i="8" s="1"/>
  <c r="BI148" i="4"/>
  <c r="BH148" i="4"/>
  <c r="BG148" i="4"/>
  <c r="BF148" i="4"/>
  <c r="BE148" i="4"/>
  <c r="BD148" i="4"/>
  <c r="BC148" i="4"/>
  <c r="BV147" i="4"/>
  <c r="BU147" i="4"/>
  <c r="BT147" i="4"/>
  <c r="BS147" i="4"/>
  <c r="BR147" i="4"/>
  <c r="BQ147" i="4"/>
  <c r="BP147" i="4"/>
  <c r="BO147" i="4"/>
  <c r="BN147" i="4"/>
  <c r="BM147" i="4"/>
  <c r="BL147" i="4"/>
  <c r="BK147" i="4"/>
  <c r="BJ147" i="4"/>
  <c r="BI147" i="4"/>
  <c r="BH147" i="4"/>
  <c r="BG147" i="4"/>
  <c r="BF147" i="4"/>
  <c r="BE147" i="4"/>
  <c r="BD147" i="4"/>
  <c r="BC147" i="4"/>
  <c r="BV146" i="4"/>
  <c r="BU146" i="4"/>
  <c r="BT146" i="4"/>
  <c r="BS146" i="4"/>
  <c r="BR146" i="4"/>
  <c r="BQ146" i="4"/>
  <c r="BP146" i="4"/>
  <c r="BO146" i="4"/>
  <c r="BN146" i="4"/>
  <c r="BM146" i="4"/>
  <c r="BL146" i="4"/>
  <c r="BK146" i="4"/>
  <c r="BJ146" i="4"/>
  <c r="BI146" i="4"/>
  <c r="BH146" i="4"/>
  <c r="BG146" i="4"/>
  <c r="BF146" i="4"/>
  <c r="BE146" i="4"/>
  <c r="BD146" i="4"/>
  <c r="BC146" i="4"/>
  <c r="BV145" i="4"/>
  <c r="BU145" i="4"/>
  <c r="M104" i="8" s="1"/>
  <c r="BT145" i="4"/>
  <c r="BS145" i="4"/>
  <c r="BR145" i="4"/>
  <c r="BQ145" i="4"/>
  <c r="BP145" i="4"/>
  <c r="BO145" i="4"/>
  <c r="BN145" i="4"/>
  <c r="BM145" i="4"/>
  <c r="BL145" i="4"/>
  <c r="BK145" i="4"/>
  <c r="M66" i="8" s="1"/>
  <c r="BJ145" i="4"/>
  <c r="BI145" i="4"/>
  <c r="BH145" i="4"/>
  <c r="BG145" i="4"/>
  <c r="BF145" i="4"/>
  <c r="BE145" i="4"/>
  <c r="BD145" i="4"/>
  <c r="BC145" i="4"/>
  <c r="BV144" i="4"/>
  <c r="BU144" i="4"/>
  <c r="BT144" i="4"/>
  <c r="BS144" i="4"/>
  <c r="BR144" i="4"/>
  <c r="BQ144" i="4"/>
  <c r="BP144" i="4"/>
  <c r="BO144" i="4"/>
  <c r="BN144" i="4"/>
  <c r="BM144" i="4"/>
  <c r="BL144" i="4"/>
  <c r="BK144" i="4"/>
  <c r="BJ144" i="4"/>
  <c r="BI144" i="4"/>
  <c r="BH144" i="4"/>
  <c r="BG144" i="4"/>
  <c r="BF144" i="4"/>
  <c r="BE144" i="4"/>
  <c r="BD144" i="4"/>
  <c r="BC144" i="4"/>
  <c r="BV143" i="4"/>
  <c r="BU143" i="4"/>
  <c r="BT143" i="4"/>
  <c r="BS143" i="4"/>
  <c r="BR143" i="4"/>
  <c r="BQ143" i="4"/>
  <c r="BP143" i="4"/>
  <c r="BO143" i="4"/>
  <c r="BN143" i="4"/>
  <c r="BM143" i="4"/>
  <c r="BL143" i="4"/>
  <c r="BK143" i="4"/>
  <c r="BJ143" i="4"/>
  <c r="BI143" i="4"/>
  <c r="BH143" i="4"/>
  <c r="BG143" i="4"/>
  <c r="BF143" i="4"/>
  <c r="BE143" i="4"/>
  <c r="BD143" i="4"/>
  <c r="BC143" i="4"/>
  <c r="BV142" i="4"/>
  <c r="BU142" i="4"/>
  <c r="BT142" i="4"/>
  <c r="BS142" i="4"/>
  <c r="BR142" i="4"/>
  <c r="BQ142" i="4"/>
  <c r="BP142" i="4"/>
  <c r="BO142" i="4"/>
  <c r="BN142" i="4"/>
  <c r="BM142" i="4"/>
  <c r="BL142" i="4"/>
  <c r="BK142" i="4"/>
  <c r="BJ142" i="4"/>
  <c r="BI142" i="4"/>
  <c r="BH142" i="4"/>
  <c r="BG142" i="4"/>
  <c r="BF142" i="4"/>
  <c r="BE142" i="4"/>
  <c r="BD142" i="4"/>
  <c r="BC142" i="4"/>
  <c r="BV141" i="4"/>
  <c r="BU141" i="4"/>
  <c r="BT141" i="4"/>
  <c r="BS141" i="4"/>
  <c r="BR141" i="4"/>
  <c r="BQ141" i="4"/>
  <c r="BP141" i="4"/>
  <c r="BO141" i="4"/>
  <c r="BN141" i="4"/>
  <c r="BM141" i="4"/>
  <c r="BL141" i="4"/>
  <c r="BK141" i="4"/>
  <c r="BJ141" i="4"/>
  <c r="BI141" i="4"/>
  <c r="BH141" i="4"/>
  <c r="BG141" i="4"/>
  <c r="BF141" i="4"/>
  <c r="BE141" i="4"/>
  <c r="BD141" i="4"/>
  <c r="BC141" i="4"/>
  <c r="BV140" i="4"/>
  <c r="BU140" i="4"/>
  <c r="BT140" i="4"/>
  <c r="BS140" i="4"/>
  <c r="BR140" i="4"/>
  <c r="BQ140" i="4"/>
  <c r="BP140" i="4"/>
  <c r="BO140" i="4"/>
  <c r="BN140" i="4"/>
  <c r="BM140" i="4"/>
  <c r="BL140" i="4"/>
  <c r="BK140" i="4"/>
  <c r="BJ140" i="4"/>
  <c r="BI140" i="4"/>
  <c r="BH140" i="4"/>
  <c r="BG140" i="4"/>
  <c r="BF140" i="4"/>
  <c r="BE140" i="4"/>
  <c r="BD140" i="4"/>
  <c r="BC140" i="4"/>
  <c r="BV139" i="4"/>
  <c r="BU139" i="4"/>
  <c r="BT139" i="4"/>
  <c r="BS139" i="4"/>
  <c r="BR139" i="4"/>
  <c r="BQ139" i="4"/>
  <c r="BP139" i="4"/>
  <c r="BO139" i="4"/>
  <c r="BN139" i="4"/>
  <c r="BM139" i="4"/>
  <c r="BL139" i="4"/>
  <c r="BK139" i="4"/>
  <c r="BJ139" i="4"/>
  <c r="BI139" i="4"/>
  <c r="BH139" i="4"/>
  <c r="BG139" i="4"/>
  <c r="BF139" i="4"/>
  <c r="BE139" i="4"/>
  <c r="BD139" i="4"/>
  <c r="BC139" i="4"/>
  <c r="BV138" i="4"/>
  <c r="BU138" i="4"/>
  <c r="BT138" i="4"/>
  <c r="BS138" i="4"/>
  <c r="BR138" i="4"/>
  <c r="BQ138" i="4"/>
  <c r="BP138" i="4"/>
  <c r="BO138" i="4"/>
  <c r="BN138" i="4"/>
  <c r="BM138" i="4"/>
  <c r="BL138" i="4"/>
  <c r="BK138" i="4"/>
  <c r="BJ138" i="4"/>
  <c r="BI138" i="4"/>
  <c r="BH138" i="4"/>
  <c r="BG138" i="4"/>
  <c r="BF138" i="4"/>
  <c r="BE138" i="4"/>
  <c r="BD138" i="4"/>
  <c r="BC138" i="4"/>
  <c r="BV137" i="4"/>
  <c r="BU137" i="4"/>
  <c r="BT137" i="4"/>
  <c r="BS137" i="4"/>
  <c r="BR137" i="4"/>
  <c r="BQ137" i="4"/>
  <c r="BP137" i="4"/>
  <c r="BO137" i="4"/>
  <c r="BN137" i="4"/>
  <c r="BM137" i="4"/>
  <c r="BL137" i="4"/>
  <c r="BK137" i="4"/>
  <c r="BJ137" i="4"/>
  <c r="BI137" i="4"/>
  <c r="BH137" i="4"/>
  <c r="BG137" i="4"/>
  <c r="BF137" i="4"/>
  <c r="BE137" i="4"/>
  <c r="BD137" i="4"/>
  <c r="BC137" i="4"/>
  <c r="BV136" i="4"/>
  <c r="BU136" i="4"/>
  <c r="BT136" i="4"/>
  <c r="BS136" i="4"/>
  <c r="BR136" i="4"/>
  <c r="BQ136" i="4"/>
  <c r="BP136" i="4"/>
  <c r="BO136" i="4"/>
  <c r="BN136" i="4"/>
  <c r="BM136" i="4"/>
  <c r="BL136" i="4"/>
  <c r="BK136" i="4"/>
  <c r="BJ136" i="4"/>
  <c r="BI136" i="4"/>
  <c r="BH136" i="4"/>
  <c r="BG136" i="4"/>
  <c r="BF136" i="4"/>
  <c r="BE136" i="4"/>
  <c r="BD136" i="4"/>
  <c r="BC136" i="4"/>
  <c r="BV135" i="4"/>
  <c r="BU135" i="4"/>
  <c r="BT135" i="4"/>
  <c r="BS135" i="4"/>
  <c r="BR135" i="4"/>
  <c r="BQ135" i="4"/>
  <c r="BP135" i="4"/>
  <c r="BO135" i="4"/>
  <c r="BN135" i="4"/>
  <c r="BM135" i="4"/>
  <c r="BL135" i="4"/>
  <c r="BK135" i="4"/>
  <c r="BJ135" i="4"/>
  <c r="BI135" i="4"/>
  <c r="BH135" i="4"/>
  <c r="BG135" i="4"/>
  <c r="BF135" i="4"/>
  <c r="BE135" i="4"/>
  <c r="BD135" i="4"/>
  <c r="BC135" i="4"/>
  <c r="BV134" i="4"/>
  <c r="BU134" i="4"/>
  <c r="BT134" i="4"/>
  <c r="BS134" i="4"/>
  <c r="BR134" i="4"/>
  <c r="BQ134" i="4"/>
  <c r="BP134" i="4"/>
  <c r="BO134" i="4"/>
  <c r="BN134" i="4"/>
  <c r="BM134" i="4"/>
  <c r="BL134" i="4"/>
  <c r="BK134" i="4"/>
  <c r="BJ134" i="4"/>
  <c r="BI134" i="4"/>
  <c r="BH134" i="4"/>
  <c r="BG134" i="4"/>
  <c r="BF134" i="4"/>
  <c r="BE134" i="4"/>
  <c r="BD134" i="4"/>
  <c r="BC134" i="4"/>
  <c r="BV133" i="4"/>
  <c r="BU133" i="4"/>
  <c r="BT133" i="4"/>
  <c r="BS133" i="4"/>
  <c r="BR133" i="4"/>
  <c r="BQ133" i="4"/>
  <c r="BP133" i="4"/>
  <c r="BO133" i="4"/>
  <c r="BN133" i="4"/>
  <c r="BM133" i="4"/>
  <c r="BL133" i="4"/>
  <c r="BK133" i="4"/>
  <c r="BJ133" i="4"/>
  <c r="BI133" i="4"/>
  <c r="BH133" i="4"/>
  <c r="BG133" i="4"/>
  <c r="BF133" i="4"/>
  <c r="BE133" i="4"/>
  <c r="BD133" i="4"/>
  <c r="BC133" i="4"/>
  <c r="BV132" i="4"/>
  <c r="BU132" i="4"/>
  <c r="BT132" i="4"/>
  <c r="BS132" i="4"/>
  <c r="BR132" i="4"/>
  <c r="BQ132" i="4"/>
  <c r="BP132" i="4"/>
  <c r="BO132" i="4"/>
  <c r="BN132" i="4"/>
  <c r="BM132" i="4"/>
  <c r="BL132" i="4"/>
  <c r="BK132" i="4"/>
  <c r="BJ132" i="4"/>
  <c r="BI132" i="4"/>
  <c r="BH132" i="4"/>
  <c r="BG132" i="4"/>
  <c r="BF132" i="4"/>
  <c r="BE132" i="4"/>
  <c r="BD132" i="4"/>
  <c r="BC132" i="4"/>
  <c r="BV131" i="4"/>
  <c r="BU131" i="4"/>
  <c r="BT131" i="4"/>
  <c r="BS131" i="4"/>
  <c r="BR131" i="4"/>
  <c r="BQ131" i="4"/>
  <c r="BP131" i="4"/>
  <c r="BO131" i="4"/>
  <c r="BN131" i="4"/>
  <c r="BM131" i="4"/>
  <c r="BL131" i="4"/>
  <c r="BK131" i="4"/>
  <c r="BJ131" i="4"/>
  <c r="BI131" i="4"/>
  <c r="BH131" i="4"/>
  <c r="BG131" i="4"/>
  <c r="BF131" i="4"/>
  <c r="BE131" i="4"/>
  <c r="BD131" i="4"/>
  <c r="BC131" i="4"/>
  <c r="BV130" i="4"/>
  <c r="BU130" i="4"/>
  <c r="BT130" i="4"/>
  <c r="BS130" i="4"/>
  <c r="BR130" i="4"/>
  <c r="BQ130" i="4"/>
  <c r="BP130" i="4"/>
  <c r="BO130" i="4"/>
  <c r="BN130" i="4"/>
  <c r="BM130" i="4"/>
  <c r="BL130" i="4"/>
  <c r="BK130" i="4"/>
  <c r="BJ130" i="4"/>
  <c r="BI130" i="4"/>
  <c r="BH130" i="4"/>
  <c r="BG130" i="4"/>
  <c r="BF130" i="4"/>
  <c r="BE130" i="4"/>
  <c r="BD130" i="4"/>
  <c r="BC130" i="4"/>
  <c r="BV129" i="4"/>
  <c r="BU129" i="4"/>
  <c r="BT129" i="4"/>
  <c r="BS129" i="4"/>
  <c r="BR129" i="4"/>
  <c r="BQ129" i="4"/>
  <c r="BP129" i="4"/>
  <c r="BO129" i="4"/>
  <c r="BN129" i="4"/>
  <c r="BM129" i="4"/>
  <c r="BL129" i="4"/>
  <c r="BK129" i="4"/>
  <c r="BJ129" i="4"/>
  <c r="BI129" i="4"/>
  <c r="BH129" i="4"/>
  <c r="BG129" i="4"/>
  <c r="BF129" i="4"/>
  <c r="BE129" i="4"/>
  <c r="BD129" i="4"/>
  <c r="BC129" i="4"/>
  <c r="BV128" i="4"/>
  <c r="BU128" i="4"/>
  <c r="BT128" i="4"/>
  <c r="BS128" i="4"/>
  <c r="BR128" i="4"/>
  <c r="BQ128" i="4"/>
  <c r="BP128" i="4"/>
  <c r="BO128" i="4"/>
  <c r="BN128" i="4"/>
  <c r="BM128" i="4"/>
  <c r="BL128" i="4"/>
  <c r="BK128" i="4"/>
  <c r="BJ128" i="4"/>
  <c r="BI128" i="4"/>
  <c r="BH128" i="4"/>
  <c r="BG128" i="4"/>
  <c r="BF128" i="4"/>
  <c r="BE128" i="4"/>
  <c r="BD128" i="4"/>
  <c r="BC128" i="4"/>
  <c r="BV127" i="4"/>
  <c r="BU127" i="4"/>
  <c r="BT127" i="4"/>
  <c r="BS127" i="4"/>
  <c r="BR127" i="4"/>
  <c r="BQ127" i="4"/>
  <c r="BP127" i="4"/>
  <c r="BO127" i="4"/>
  <c r="BN127" i="4"/>
  <c r="BM127" i="4"/>
  <c r="BL127" i="4"/>
  <c r="BK127" i="4"/>
  <c r="BJ127" i="4"/>
  <c r="BI127" i="4"/>
  <c r="BH127" i="4"/>
  <c r="BG127" i="4"/>
  <c r="BF127" i="4"/>
  <c r="BE127" i="4"/>
  <c r="BD127" i="4"/>
  <c r="BC127" i="4"/>
  <c r="BV126" i="4"/>
  <c r="BU126" i="4"/>
  <c r="BT126" i="4"/>
  <c r="BS126" i="4"/>
  <c r="BR126" i="4"/>
  <c r="BQ126" i="4"/>
  <c r="BP126" i="4"/>
  <c r="BO126" i="4"/>
  <c r="BN126" i="4"/>
  <c r="BM126" i="4"/>
  <c r="BL126" i="4"/>
  <c r="BK126" i="4"/>
  <c r="BJ126" i="4"/>
  <c r="BI126" i="4"/>
  <c r="BH126" i="4"/>
  <c r="BG126" i="4"/>
  <c r="BF126" i="4"/>
  <c r="BE126" i="4"/>
  <c r="BD126" i="4"/>
  <c r="BC126" i="4"/>
  <c r="BV125" i="4"/>
  <c r="BU125" i="4"/>
  <c r="BT125" i="4"/>
  <c r="BS125" i="4"/>
  <c r="BR125" i="4"/>
  <c r="BQ125" i="4"/>
  <c r="BP125" i="4"/>
  <c r="BO125" i="4"/>
  <c r="BN125" i="4"/>
  <c r="BM125" i="4"/>
  <c r="BL125" i="4"/>
  <c r="BK125" i="4"/>
  <c r="BJ125" i="4"/>
  <c r="BI125" i="4"/>
  <c r="BH125" i="4"/>
  <c r="BG125" i="4"/>
  <c r="BF125" i="4"/>
  <c r="BE125" i="4"/>
  <c r="BD125" i="4"/>
  <c r="BC125" i="4"/>
  <c r="BV124" i="4"/>
  <c r="BU124" i="4"/>
  <c r="BT124" i="4"/>
  <c r="BS124" i="4"/>
  <c r="BR124" i="4"/>
  <c r="BQ124" i="4"/>
  <c r="BP124" i="4"/>
  <c r="BO124" i="4"/>
  <c r="BN124" i="4"/>
  <c r="BM124" i="4"/>
  <c r="BL124" i="4"/>
  <c r="BK124" i="4"/>
  <c r="BJ124" i="4"/>
  <c r="BI124" i="4"/>
  <c r="BH124" i="4"/>
  <c r="BG124" i="4"/>
  <c r="BF124" i="4"/>
  <c r="BE124" i="4"/>
  <c r="BD124" i="4"/>
  <c r="BC124" i="4"/>
  <c r="BV123" i="4"/>
  <c r="BU123" i="4"/>
  <c r="BT123" i="4"/>
  <c r="BS123" i="4"/>
  <c r="BR123" i="4"/>
  <c r="BQ123" i="4"/>
  <c r="BP123" i="4"/>
  <c r="BO123" i="4"/>
  <c r="BN123" i="4"/>
  <c r="BM123" i="4"/>
  <c r="BL123" i="4"/>
  <c r="BK123" i="4"/>
  <c r="BJ123" i="4"/>
  <c r="BI123" i="4"/>
  <c r="BH123" i="4"/>
  <c r="BG123" i="4"/>
  <c r="BF123" i="4"/>
  <c r="BE123" i="4"/>
  <c r="BD123" i="4"/>
  <c r="BC123" i="4"/>
  <c r="BV122" i="4"/>
  <c r="BU122" i="4"/>
  <c r="BT122" i="4"/>
  <c r="BS122" i="4"/>
  <c r="BR122" i="4"/>
  <c r="BQ122" i="4"/>
  <c r="BP122" i="4"/>
  <c r="BO122" i="4"/>
  <c r="BN122" i="4"/>
  <c r="BM122" i="4"/>
  <c r="BL122" i="4"/>
  <c r="BK122" i="4"/>
  <c r="BJ122" i="4"/>
  <c r="BI122" i="4"/>
  <c r="BH122" i="4"/>
  <c r="BG122" i="4"/>
  <c r="BF122" i="4"/>
  <c r="BE122" i="4"/>
  <c r="BD122" i="4"/>
  <c r="BC122" i="4"/>
  <c r="BV121" i="4"/>
  <c r="BU121" i="4"/>
  <c r="BT121" i="4"/>
  <c r="BS121" i="4"/>
  <c r="BR121" i="4"/>
  <c r="BQ121" i="4"/>
  <c r="BP121" i="4"/>
  <c r="BO121" i="4"/>
  <c r="BN121" i="4"/>
  <c r="BM121" i="4"/>
  <c r="BL121" i="4"/>
  <c r="BK121" i="4"/>
  <c r="BJ121" i="4"/>
  <c r="BI121" i="4"/>
  <c r="BH121" i="4"/>
  <c r="BG121" i="4"/>
  <c r="BF121" i="4"/>
  <c r="BE121" i="4"/>
  <c r="BD121" i="4"/>
  <c r="BC121" i="4"/>
  <c r="BV120" i="4"/>
  <c r="BU120" i="4"/>
  <c r="BT120" i="4"/>
  <c r="BS120" i="4"/>
  <c r="BR120" i="4"/>
  <c r="BQ120" i="4"/>
  <c r="BP120" i="4"/>
  <c r="BO120" i="4"/>
  <c r="BN120" i="4"/>
  <c r="BM120" i="4"/>
  <c r="BL120" i="4"/>
  <c r="BK120" i="4"/>
  <c r="BJ120" i="4"/>
  <c r="BI120" i="4"/>
  <c r="BH120" i="4"/>
  <c r="BG120" i="4"/>
  <c r="BF120" i="4"/>
  <c r="BE120" i="4"/>
  <c r="BD120" i="4"/>
  <c r="BC120" i="4"/>
  <c r="BV119" i="4"/>
  <c r="BU119" i="4"/>
  <c r="BT119" i="4"/>
  <c r="BS119" i="4"/>
  <c r="BR119" i="4"/>
  <c r="BQ119" i="4"/>
  <c r="BP119" i="4"/>
  <c r="BO119" i="4"/>
  <c r="BN119" i="4"/>
  <c r="BM119" i="4"/>
  <c r="BL119" i="4"/>
  <c r="BK119" i="4"/>
  <c r="BJ119" i="4"/>
  <c r="BI119" i="4"/>
  <c r="BH119" i="4"/>
  <c r="BG119" i="4"/>
  <c r="BF119" i="4"/>
  <c r="BE119" i="4"/>
  <c r="BD119" i="4"/>
  <c r="BC119" i="4"/>
  <c r="BV118" i="4"/>
  <c r="BU118" i="4"/>
  <c r="BT118" i="4"/>
  <c r="BS118" i="4"/>
  <c r="BR118" i="4"/>
  <c r="BQ118" i="4"/>
  <c r="BP118" i="4"/>
  <c r="BO118" i="4"/>
  <c r="BN118" i="4"/>
  <c r="BM118" i="4"/>
  <c r="BL118" i="4"/>
  <c r="BK118" i="4"/>
  <c r="BJ118" i="4"/>
  <c r="BI118" i="4"/>
  <c r="BH118" i="4"/>
  <c r="BG118" i="4"/>
  <c r="BF118" i="4"/>
  <c r="BE118" i="4"/>
  <c r="BD118" i="4"/>
  <c r="BC118" i="4"/>
  <c r="BV117" i="4"/>
  <c r="BU117" i="4"/>
  <c r="BT117" i="4"/>
  <c r="BS117" i="4"/>
  <c r="BR117" i="4"/>
  <c r="BQ117" i="4"/>
  <c r="BP117" i="4"/>
  <c r="BO117" i="4"/>
  <c r="BN117" i="4"/>
  <c r="BM117" i="4"/>
  <c r="BL117" i="4"/>
  <c r="BK117" i="4"/>
  <c r="BJ117" i="4"/>
  <c r="BI117" i="4"/>
  <c r="BH117" i="4"/>
  <c r="BG117" i="4"/>
  <c r="BF117" i="4"/>
  <c r="BE117" i="4"/>
  <c r="BD117" i="4"/>
  <c r="BC117" i="4"/>
  <c r="BV116" i="4"/>
  <c r="BU116" i="4"/>
  <c r="BT116" i="4"/>
  <c r="BS116" i="4"/>
  <c r="BR116" i="4"/>
  <c r="BQ116" i="4"/>
  <c r="BP116" i="4"/>
  <c r="BO116" i="4"/>
  <c r="BN116" i="4"/>
  <c r="BM116" i="4"/>
  <c r="BL116" i="4"/>
  <c r="BK116" i="4"/>
  <c r="BJ116" i="4"/>
  <c r="BI116" i="4"/>
  <c r="BH116" i="4"/>
  <c r="BG116" i="4"/>
  <c r="BF116" i="4"/>
  <c r="BE116" i="4"/>
  <c r="BD116" i="4"/>
  <c r="BC116" i="4"/>
  <c r="BV115" i="4"/>
  <c r="BU115" i="4"/>
  <c r="BT115" i="4"/>
  <c r="BS115" i="4"/>
  <c r="BR115" i="4"/>
  <c r="BQ115" i="4"/>
  <c r="BP115" i="4"/>
  <c r="BO115" i="4"/>
  <c r="BN115" i="4"/>
  <c r="BM115" i="4"/>
  <c r="BL115" i="4"/>
  <c r="BK115" i="4"/>
  <c r="BJ115" i="4"/>
  <c r="BI115" i="4"/>
  <c r="BH115" i="4"/>
  <c r="BG115" i="4"/>
  <c r="BF115" i="4"/>
  <c r="BE115" i="4"/>
  <c r="BD115" i="4"/>
  <c r="BC115" i="4"/>
  <c r="BV114" i="4"/>
  <c r="BU114" i="4"/>
  <c r="BT114" i="4"/>
  <c r="BS114" i="4"/>
  <c r="BR114" i="4"/>
  <c r="BQ114" i="4"/>
  <c r="BP114" i="4"/>
  <c r="BO114" i="4"/>
  <c r="BN114" i="4"/>
  <c r="BM114" i="4"/>
  <c r="BL114" i="4"/>
  <c r="BK114" i="4"/>
  <c r="BJ114" i="4"/>
  <c r="BI114" i="4"/>
  <c r="BH114" i="4"/>
  <c r="BG114" i="4"/>
  <c r="BF114" i="4"/>
  <c r="BE114" i="4"/>
  <c r="BD114" i="4"/>
  <c r="BC114" i="4"/>
  <c r="BV113" i="4"/>
  <c r="BU113" i="4"/>
  <c r="BT113" i="4"/>
  <c r="BS113" i="4"/>
  <c r="BR113" i="4"/>
  <c r="BQ113" i="4"/>
  <c r="BP113" i="4"/>
  <c r="BO113" i="4"/>
  <c r="BN113" i="4"/>
  <c r="BM113" i="4"/>
  <c r="BL113" i="4"/>
  <c r="BK113" i="4"/>
  <c r="BJ113" i="4"/>
  <c r="BI113" i="4"/>
  <c r="BH113" i="4"/>
  <c r="BG113" i="4"/>
  <c r="BF113" i="4"/>
  <c r="BE113" i="4"/>
  <c r="BD113" i="4"/>
  <c r="BC113" i="4"/>
  <c r="BV112" i="4"/>
  <c r="BU112" i="4"/>
  <c r="BT112" i="4"/>
  <c r="BS112" i="4"/>
  <c r="BR112" i="4"/>
  <c r="BQ112" i="4"/>
  <c r="BP112" i="4"/>
  <c r="BO112" i="4"/>
  <c r="BN112" i="4"/>
  <c r="BM112" i="4"/>
  <c r="BL112" i="4"/>
  <c r="BK112" i="4"/>
  <c r="BJ112" i="4"/>
  <c r="BI112" i="4"/>
  <c r="BH112" i="4"/>
  <c r="BG112" i="4"/>
  <c r="BF112" i="4"/>
  <c r="BE112" i="4"/>
  <c r="BD112" i="4"/>
  <c r="BC112" i="4"/>
  <c r="BV111" i="4"/>
  <c r="BU111" i="4"/>
  <c r="BT111" i="4"/>
  <c r="BS111" i="4"/>
  <c r="BR111" i="4"/>
  <c r="BQ111" i="4"/>
  <c r="BP111" i="4"/>
  <c r="BO111" i="4"/>
  <c r="BN111" i="4"/>
  <c r="BM111" i="4"/>
  <c r="BL111" i="4"/>
  <c r="BK111" i="4"/>
  <c r="BJ111" i="4"/>
  <c r="BI111" i="4"/>
  <c r="BH111" i="4"/>
  <c r="BG111" i="4"/>
  <c r="BF111" i="4"/>
  <c r="BE111" i="4"/>
  <c r="BD111" i="4"/>
  <c r="BC111" i="4"/>
  <c r="BV110" i="4"/>
  <c r="BU110" i="4"/>
  <c r="BT110" i="4"/>
  <c r="BS110" i="4"/>
  <c r="BR110" i="4"/>
  <c r="BQ110" i="4"/>
  <c r="BP110" i="4"/>
  <c r="BO110" i="4"/>
  <c r="BN110" i="4"/>
  <c r="BM110" i="4"/>
  <c r="BL110" i="4"/>
  <c r="BK110" i="4"/>
  <c r="BJ110" i="4"/>
  <c r="BI110" i="4"/>
  <c r="BH110" i="4"/>
  <c r="BG110" i="4"/>
  <c r="BF110" i="4"/>
  <c r="BE110" i="4"/>
  <c r="BD110" i="4"/>
  <c r="BC110" i="4"/>
  <c r="BV109" i="4"/>
  <c r="BU109" i="4"/>
  <c r="BT109" i="4"/>
  <c r="BS109" i="4"/>
  <c r="BR109" i="4"/>
  <c r="BQ109" i="4"/>
  <c r="BP109" i="4"/>
  <c r="BO109" i="4"/>
  <c r="BN109" i="4"/>
  <c r="BM109" i="4"/>
  <c r="BL109" i="4"/>
  <c r="BK109" i="4"/>
  <c r="BJ109" i="4"/>
  <c r="BI109" i="4"/>
  <c r="BH109" i="4"/>
  <c r="BG109" i="4"/>
  <c r="BF109" i="4"/>
  <c r="BE109" i="4"/>
  <c r="BD109" i="4"/>
  <c r="BC109" i="4"/>
  <c r="BV108" i="4"/>
  <c r="BU108" i="4"/>
  <c r="BT108" i="4"/>
  <c r="BS108" i="4"/>
  <c r="BR108" i="4"/>
  <c r="BQ108" i="4"/>
  <c r="BP108" i="4"/>
  <c r="BO108" i="4"/>
  <c r="BN108" i="4"/>
  <c r="BM108" i="4"/>
  <c r="BL108" i="4"/>
  <c r="BK108" i="4"/>
  <c r="BJ108" i="4"/>
  <c r="BI108" i="4"/>
  <c r="BH108" i="4"/>
  <c r="BG108" i="4"/>
  <c r="BF108" i="4"/>
  <c r="BE108" i="4"/>
  <c r="BD108" i="4"/>
  <c r="BC108" i="4"/>
  <c r="BV107" i="4"/>
  <c r="E99" i="8" s="1"/>
  <c r="BU107" i="4"/>
  <c r="E106" i="8" s="1"/>
  <c r="BT107" i="4"/>
  <c r="BS107" i="4"/>
  <c r="BR107" i="4"/>
  <c r="BQ107" i="4"/>
  <c r="BP107" i="4"/>
  <c r="BO107" i="4"/>
  <c r="BN107" i="4"/>
  <c r="BM107" i="4"/>
  <c r="BL107" i="4"/>
  <c r="BK107" i="4"/>
  <c r="E69" i="8" s="1"/>
  <c r="BJ107" i="4"/>
  <c r="E76" i="8" s="1"/>
  <c r="BI107" i="4"/>
  <c r="BH107" i="4"/>
  <c r="BG107" i="4"/>
  <c r="BF107" i="4"/>
  <c r="BE107" i="4"/>
  <c r="BD107" i="4"/>
  <c r="BC107" i="4"/>
  <c r="BV106" i="4"/>
  <c r="BU106" i="4"/>
  <c r="BT106" i="4"/>
  <c r="BS106" i="4"/>
  <c r="BR106" i="4"/>
  <c r="BQ106" i="4"/>
  <c r="BP106" i="4"/>
  <c r="BO106" i="4"/>
  <c r="BN106" i="4"/>
  <c r="BM106" i="4"/>
  <c r="BL106" i="4"/>
  <c r="BK106" i="4"/>
  <c r="BJ106" i="4"/>
  <c r="BI106" i="4"/>
  <c r="BH106" i="4"/>
  <c r="BG106" i="4"/>
  <c r="BF106" i="4"/>
  <c r="BE106" i="4"/>
  <c r="BD106" i="4"/>
  <c r="BC106" i="4"/>
  <c r="BV105" i="4"/>
  <c r="BU105" i="4"/>
  <c r="BT105" i="4"/>
  <c r="BS105" i="4"/>
  <c r="BR105" i="4"/>
  <c r="BQ105" i="4"/>
  <c r="BP105" i="4"/>
  <c r="BO105" i="4"/>
  <c r="BN105" i="4"/>
  <c r="BM105" i="4"/>
  <c r="BL105" i="4"/>
  <c r="BK105" i="4"/>
  <c r="BJ105" i="4"/>
  <c r="BI105" i="4"/>
  <c r="BH105" i="4"/>
  <c r="BG105" i="4"/>
  <c r="BF105" i="4"/>
  <c r="BE105" i="4"/>
  <c r="BD105" i="4"/>
  <c r="BC105" i="4"/>
  <c r="BV104" i="4"/>
  <c r="D83" i="8" s="1"/>
  <c r="BU104" i="4"/>
  <c r="BT104" i="4"/>
  <c r="BS104" i="4"/>
  <c r="BR104" i="4"/>
  <c r="BQ104" i="4"/>
  <c r="BP104" i="4"/>
  <c r="BO104" i="4"/>
  <c r="BN104" i="4"/>
  <c r="BM104" i="4"/>
  <c r="BL104" i="4"/>
  <c r="BK104" i="4"/>
  <c r="D53" i="8" s="1"/>
  <c r="BJ104" i="4"/>
  <c r="BI104" i="4"/>
  <c r="BH104" i="4"/>
  <c r="BG104" i="4"/>
  <c r="BF104" i="4"/>
  <c r="BE104" i="4"/>
  <c r="BD104" i="4"/>
  <c r="BC104" i="4"/>
  <c r="BV103" i="4"/>
  <c r="BU103" i="4"/>
  <c r="BT103" i="4"/>
  <c r="BS103" i="4"/>
  <c r="BR103" i="4"/>
  <c r="BQ103" i="4"/>
  <c r="BP103" i="4"/>
  <c r="BO103" i="4"/>
  <c r="BN103" i="4"/>
  <c r="BM103" i="4"/>
  <c r="BL103" i="4"/>
  <c r="BK103" i="4"/>
  <c r="BJ103" i="4"/>
  <c r="BI103" i="4"/>
  <c r="BH103" i="4"/>
  <c r="BG103" i="4"/>
  <c r="BF103" i="4"/>
  <c r="BE103" i="4"/>
  <c r="BD103" i="4"/>
  <c r="BC103" i="4"/>
  <c r="BV102" i="4"/>
  <c r="BU102" i="4"/>
  <c r="BT102" i="4"/>
  <c r="BS102" i="4"/>
  <c r="BR102" i="4"/>
  <c r="BQ102" i="4"/>
  <c r="BP102" i="4"/>
  <c r="BO102" i="4"/>
  <c r="BN102" i="4"/>
  <c r="BM102" i="4"/>
  <c r="BL102" i="4"/>
  <c r="BK102" i="4"/>
  <c r="F52" i="8" s="1"/>
  <c r="BJ102" i="4"/>
  <c r="BI102" i="4"/>
  <c r="BH102" i="4"/>
  <c r="BG102" i="4"/>
  <c r="BF102" i="4"/>
  <c r="BE102" i="4"/>
  <c r="BD102" i="4"/>
  <c r="BC102" i="4"/>
  <c r="BV101" i="4"/>
  <c r="BU101" i="4"/>
  <c r="BT101" i="4"/>
  <c r="BS101" i="4"/>
  <c r="BR101" i="4"/>
  <c r="BQ101" i="4"/>
  <c r="BP101" i="4"/>
  <c r="BO101" i="4"/>
  <c r="BN101" i="4"/>
  <c r="BM101" i="4"/>
  <c r="BL101" i="4"/>
  <c r="BK101" i="4"/>
  <c r="BJ101" i="4"/>
  <c r="BI101" i="4"/>
  <c r="BH101" i="4"/>
  <c r="BG101" i="4"/>
  <c r="BF101" i="4"/>
  <c r="BE101" i="4"/>
  <c r="BD101" i="4"/>
  <c r="BC101" i="4"/>
  <c r="BV100" i="4"/>
  <c r="BU100" i="4"/>
  <c r="F90" i="8" s="1"/>
  <c r="BT100" i="4"/>
  <c r="BS100" i="4"/>
  <c r="BR100" i="4"/>
  <c r="BQ100" i="4"/>
  <c r="BP100" i="4"/>
  <c r="BO100" i="4"/>
  <c r="BN100" i="4"/>
  <c r="BM100" i="4"/>
  <c r="BL100" i="4"/>
  <c r="BK100" i="4"/>
  <c r="F53" i="8" s="1"/>
  <c r="BJ100" i="4"/>
  <c r="K75" i="8" s="1"/>
  <c r="BI100" i="4"/>
  <c r="BH100" i="4"/>
  <c r="BG100" i="4"/>
  <c r="BF100" i="4"/>
  <c r="BE100" i="4"/>
  <c r="BD100" i="4"/>
  <c r="BC100" i="4"/>
  <c r="BV99" i="4"/>
  <c r="BU99" i="4"/>
  <c r="BT99" i="4"/>
  <c r="BS99" i="4"/>
  <c r="BR99" i="4"/>
  <c r="BQ99" i="4"/>
  <c r="BP99" i="4"/>
  <c r="BO99" i="4"/>
  <c r="BN99" i="4"/>
  <c r="BM99" i="4"/>
  <c r="BL99" i="4"/>
  <c r="BK99" i="4"/>
  <c r="BJ99" i="4"/>
  <c r="BI99" i="4"/>
  <c r="BH99" i="4"/>
  <c r="BG99" i="4"/>
  <c r="BF99" i="4"/>
  <c r="BE99" i="4"/>
  <c r="BD99" i="4"/>
  <c r="BC99" i="4"/>
  <c r="BV98" i="4"/>
  <c r="BU98" i="4"/>
  <c r="BT98" i="4"/>
  <c r="BS98" i="4"/>
  <c r="BR98" i="4"/>
  <c r="BQ98" i="4"/>
  <c r="BP98" i="4"/>
  <c r="BO98" i="4"/>
  <c r="BN98" i="4"/>
  <c r="BM98" i="4"/>
  <c r="BL98" i="4"/>
  <c r="BK98" i="4"/>
  <c r="BJ98" i="4"/>
  <c r="BI98" i="4"/>
  <c r="BH98" i="4"/>
  <c r="BG98" i="4"/>
  <c r="BF98" i="4"/>
  <c r="BE98" i="4"/>
  <c r="BD98" i="4"/>
  <c r="BC98" i="4"/>
  <c r="BV97" i="4"/>
  <c r="BU97" i="4"/>
  <c r="BT97" i="4"/>
  <c r="BS97" i="4"/>
  <c r="BR97" i="4"/>
  <c r="BQ97" i="4"/>
  <c r="BP97" i="4"/>
  <c r="BO97" i="4"/>
  <c r="BN97" i="4"/>
  <c r="BM97" i="4"/>
  <c r="BL97" i="4"/>
  <c r="BK97" i="4"/>
  <c r="BJ97" i="4"/>
  <c r="BI97" i="4"/>
  <c r="BH97" i="4"/>
  <c r="BG97" i="4"/>
  <c r="BF97" i="4"/>
  <c r="BE97" i="4"/>
  <c r="BD97" i="4"/>
  <c r="BC97" i="4"/>
  <c r="BV96" i="4"/>
  <c r="BU96" i="4"/>
  <c r="BT96" i="4"/>
  <c r="BS96" i="4"/>
  <c r="BR96" i="4"/>
  <c r="BQ96" i="4"/>
  <c r="BP96" i="4"/>
  <c r="BO96" i="4"/>
  <c r="BN96" i="4"/>
  <c r="BM96" i="4"/>
  <c r="BL96" i="4"/>
  <c r="BK96" i="4"/>
  <c r="BJ96" i="4"/>
  <c r="BI96" i="4"/>
  <c r="BH96" i="4"/>
  <c r="BG96" i="4"/>
  <c r="BF96" i="4"/>
  <c r="BE96" i="4"/>
  <c r="BD96" i="4"/>
  <c r="BC96" i="4"/>
  <c r="BV95" i="4"/>
  <c r="I81" i="8" s="1"/>
  <c r="BU95" i="4"/>
  <c r="BT95" i="4"/>
  <c r="BS95" i="4"/>
  <c r="BR95" i="4"/>
  <c r="BQ95" i="4"/>
  <c r="BP95" i="4"/>
  <c r="BO95" i="4"/>
  <c r="BN95" i="4"/>
  <c r="BM95" i="4"/>
  <c r="BL95" i="4"/>
  <c r="BK95" i="4"/>
  <c r="R66" i="8" s="1"/>
  <c r="BJ95" i="4"/>
  <c r="R73" i="8" s="1"/>
  <c r="BI95" i="4"/>
  <c r="BH95" i="4"/>
  <c r="BG95" i="4"/>
  <c r="BF95" i="4"/>
  <c r="BE95" i="4"/>
  <c r="BD95" i="4"/>
  <c r="BC95" i="4"/>
  <c r="BV94" i="4"/>
  <c r="D99" i="8" s="1"/>
  <c r="BU94" i="4"/>
  <c r="D106" i="8" s="1"/>
  <c r="BT94" i="4"/>
  <c r="BS94" i="4"/>
  <c r="BR94" i="4"/>
  <c r="BQ94" i="4"/>
  <c r="BP94" i="4"/>
  <c r="BO94" i="4"/>
  <c r="BN94" i="4"/>
  <c r="BM94" i="4"/>
  <c r="BL94" i="4"/>
  <c r="BK94" i="4"/>
  <c r="D69" i="8" s="1"/>
  <c r="BJ94" i="4"/>
  <c r="D76" i="8" s="1"/>
  <c r="BI94" i="4"/>
  <c r="BH94" i="4"/>
  <c r="BG94" i="4"/>
  <c r="BF94" i="4"/>
  <c r="BE94" i="4"/>
  <c r="BD94" i="4"/>
  <c r="BC94" i="4"/>
  <c r="BV93" i="4"/>
  <c r="BU93" i="4"/>
  <c r="BT93" i="4"/>
  <c r="BS93" i="4"/>
  <c r="BR93" i="4"/>
  <c r="BQ93" i="4"/>
  <c r="BP93" i="4"/>
  <c r="BO93" i="4"/>
  <c r="BN93" i="4"/>
  <c r="BM93" i="4"/>
  <c r="BL93" i="4"/>
  <c r="BK93" i="4"/>
  <c r="BJ93" i="4"/>
  <c r="BI93" i="4"/>
  <c r="BH93" i="4"/>
  <c r="BG93" i="4"/>
  <c r="BF93" i="4"/>
  <c r="BE93" i="4"/>
  <c r="BD93" i="4"/>
  <c r="BC93" i="4"/>
  <c r="BV92" i="4"/>
  <c r="BU92" i="4"/>
  <c r="BT92" i="4"/>
  <c r="BS92" i="4"/>
  <c r="BR92" i="4"/>
  <c r="BQ92" i="4"/>
  <c r="BP92" i="4"/>
  <c r="BO92" i="4"/>
  <c r="BN92" i="4"/>
  <c r="BM92" i="4"/>
  <c r="BL92" i="4"/>
  <c r="BK92" i="4"/>
  <c r="BJ92" i="4"/>
  <c r="BI92" i="4"/>
  <c r="BH92" i="4"/>
  <c r="BG92" i="4"/>
  <c r="BF92" i="4"/>
  <c r="BE92" i="4"/>
  <c r="BD92" i="4"/>
  <c r="BC92" i="4"/>
  <c r="BV91" i="4"/>
  <c r="BU91" i="4"/>
  <c r="BT91" i="4"/>
  <c r="BS91" i="4"/>
  <c r="BR91" i="4"/>
  <c r="BQ91" i="4"/>
  <c r="BP91" i="4"/>
  <c r="BO91" i="4"/>
  <c r="BN91" i="4"/>
  <c r="BM91" i="4"/>
  <c r="BL91" i="4"/>
  <c r="BK91" i="4"/>
  <c r="BJ91" i="4"/>
  <c r="BI91" i="4"/>
  <c r="BH91" i="4"/>
  <c r="BG91" i="4"/>
  <c r="BF91" i="4"/>
  <c r="BE91" i="4"/>
  <c r="BD91" i="4"/>
  <c r="BC91" i="4"/>
  <c r="BV90" i="4"/>
  <c r="BU90" i="4"/>
  <c r="BT90" i="4"/>
  <c r="BS90" i="4"/>
  <c r="BR90" i="4"/>
  <c r="BQ90" i="4"/>
  <c r="BP90" i="4"/>
  <c r="BO90" i="4"/>
  <c r="BN90" i="4"/>
  <c r="BM90" i="4"/>
  <c r="BL90" i="4"/>
  <c r="BK90" i="4"/>
  <c r="BJ90" i="4"/>
  <c r="BI90" i="4"/>
  <c r="BH90" i="4"/>
  <c r="BG90" i="4"/>
  <c r="BF90" i="4"/>
  <c r="BE90" i="4"/>
  <c r="BD90" i="4"/>
  <c r="BC90" i="4"/>
  <c r="BV89" i="4"/>
  <c r="BU89" i="4"/>
  <c r="BT89" i="4"/>
  <c r="BS89" i="4"/>
  <c r="BR89" i="4"/>
  <c r="BQ89" i="4"/>
  <c r="BP89" i="4"/>
  <c r="BO89" i="4"/>
  <c r="BN89" i="4"/>
  <c r="BM89" i="4"/>
  <c r="BL89" i="4"/>
  <c r="BK89" i="4"/>
  <c r="BJ89" i="4"/>
  <c r="BI89" i="4"/>
  <c r="BH89" i="4"/>
  <c r="BG89" i="4"/>
  <c r="BF89" i="4"/>
  <c r="BE89" i="4"/>
  <c r="BD89" i="4"/>
  <c r="BC89" i="4"/>
  <c r="BV88" i="4"/>
  <c r="BU88" i="4"/>
  <c r="BT88" i="4"/>
  <c r="BS88" i="4"/>
  <c r="BR88" i="4"/>
  <c r="BQ88" i="4"/>
  <c r="BP88" i="4"/>
  <c r="BO88" i="4"/>
  <c r="BN88" i="4"/>
  <c r="BM88" i="4"/>
  <c r="BL88" i="4"/>
  <c r="BK88" i="4"/>
  <c r="BJ88" i="4"/>
  <c r="BI88" i="4"/>
  <c r="BH88" i="4"/>
  <c r="BG88" i="4"/>
  <c r="BF88" i="4"/>
  <c r="BE88" i="4"/>
  <c r="BD88" i="4"/>
  <c r="BC88" i="4"/>
  <c r="BV87" i="4"/>
  <c r="BU87" i="4"/>
  <c r="BT87" i="4"/>
  <c r="BS87" i="4"/>
  <c r="BR87" i="4"/>
  <c r="BQ87" i="4"/>
  <c r="BP87" i="4"/>
  <c r="BO87" i="4"/>
  <c r="BN87" i="4"/>
  <c r="BM87" i="4"/>
  <c r="BL87" i="4"/>
  <c r="BK87" i="4"/>
  <c r="BJ87" i="4"/>
  <c r="BI87" i="4"/>
  <c r="BH87" i="4"/>
  <c r="BG87" i="4"/>
  <c r="BF87" i="4"/>
  <c r="BE87" i="4"/>
  <c r="BD87" i="4"/>
  <c r="BC87" i="4"/>
  <c r="BV86" i="4"/>
  <c r="BU86" i="4"/>
  <c r="BT86" i="4"/>
  <c r="BS86" i="4"/>
  <c r="BR86" i="4"/>
  <c r="BQ86" i="4"/>
  <c r="BP86" i="4"/>
  <c r="BO86" i="4"/>
  <c r="BN86" i="4"/>
  <c r="BM86" i="4"/>
  <c r="BL86" i="4"/>
  <c r="BK86" i="4"/>
  <c r="BJ86" i="4"/>
  <c r="BI86" i="4"/>
  <c r="BH86" i="4"/>
  <c r="BG86" i="4"/>
  <c r="BF86" i="4"/>
  <c r="BE86" i="4"/>
  <c r="BD86" i="4"/>
  <c r="BC86" i="4"/>
  <c r="BV85" i="4"/>
  <c r="BU85" i="4"/>
  <c r="BT85" i="4"/>
  <c r="BS85" i="4"/>
  <c r="BR85" i="4"/>
  <c r="BQ85" i="4"/>
  <c r="BP85" i="4"/>
  <c r="BO85" i="4"/>
  <c r="BN85" i="4"/>
  <c r="BM85" i="4"/>
  <c r="BL85" i="4"/>
  <c r="BK85" i="4"/>
  <c r="BJ85" i="4"/>
  <c r="BI85" i="4"/>
  <c r="BH85" i="4"/>
  <c r="BG85" i="4"/>
  <c r="BF85" i="4"/>
  <c r="BE85" i="4"/>
  <c r="BD85" i="4"/>
  <c r="BC85" i="4"/>
  <c r="BV84" i="4"/>
  <c r="BU84" i="4"/>
  <c r="BT84" i="4"/>
  <c r="BS84" i="4"/>
  <c r="BR84" i="4"/>
  <c r="BQ84" i="4"/>
  <c r="BP84" i="4"/>
  <c r="BO84" i="4"/>
  <c r="BN84" i="4"/>
  <c r="BM84" i="4"/>
  <c r="BL84" i="4"/>
  <c r="BK84" i="4"/>
  <c r="BJ84" i="4"/>
  <c r="BI84" i="4"/>
  <c r="BH84" i="4"/>
  <c r="BG84" i="4"/>
  <c r="BF84" i="4"/>
  <c r="BE84" i="4"/>
  <c r="BD84" i="4"/>
  <c r="BC84" i="4"/>
  <c r="BV83" i="4"/>
  <c r="BU83" i="4"/>
  <c r="BT83" i="4"/>
  <c r="BS83" i="4"/>
  <c r="BR83" i="4"/>
  <c r="BQ83" i="4"/>
  <c r="BP83" i="4"/>
  <c r="BO83" i="4"/>
  <c r="BN83" i="4"/>
  <c r="BM83" i="4"/>
  <c r="BL83" i="4"/>
  <c r="BK83" i="4"/>
  <c r="BJ83" i="4"/>
  <c r="BI83" i="4"/>
  <c r="BH83" i="4"/>
  <c r="BG83" i="4"/>
  <c r="BF83" i="4"/>
  <c r="BE83" i="4"/>
  <c r="BD83" i="4"/>
  <c r="BC83" i="4"/>
  <c r="BV82" i="4"/>
  <c r="BU82" i="4"/>
  <c r="BT82" i="4"/>
  <c r="BS82" i="4"/>
  <c r="BR82" i="4"/>
  <c r="BQ82" i="4"/>
  <c r="BP82" i="4"/>
  <c r="BO82" i="4"/>
  <c r="BN82" i="4"/>
  <c r="BM82" i="4"/>
  <c r="BL82" i="4"/>
  <c r="BK82" i="4"/>
  <c r="BJ82" i="4"/>
  <c r="BI82" i="4"/>
  <c r="BH82" i="4"/>
  <c r="BG82" i="4"/>
  <c r="BF82" i="4"/>
  <c r="BE82" i="4"/>
  <c r="BD82" i="4"/>
  <c r="BC82" i="4"/>
  <c r="BV81" i="4"/>
  <c r="BU81" i="4"/>
  <c r="BT81" i="4"/>
  <c r="BS81" i="4"/>
  <c r="BR81" i="4"/>
  <c r="BQ81" i="4"/>
  <c r="BP81" i="4"/>
  <c r="BO81" i="4"/>
  <c r="BN81" i="4"/>
  <c r="BM81" i="4"/>
  <c r="BL81" i="4"/>
  <c r="BK81" i="4"/>
  <c r="R65" i="8" s="1"/>
  <c r="BJ81" i="4"/>
  <c r="R72" i="8" s="1"/>
  <c r="BI81" i="4"/>
  <c r="BH81" i="4"/>
  <c r="BG81" i="4"/>
  <c r="BF81" i="4"/>
  <c r="BE81" i="4"/>
  <c r="BD81" i="4"/>
  <c r="BC81" i="4"/>
  <c r="BV80" i="4"/>
  <c r="G99" i="8" s="1"/>
  <c r="BU80" i="4"/>
  <c r="G106" i="8" s="1"/>
  <c r="BT80" i="4"/>
  <c r="BS80" i="4"/>
  <c r="BR80" i="4"/>
  <c r="BQ80" i="4"/>
  <c r="BP80" i="4"/>
  <c r="BO80" i="4"/>
  <c r="BN80" i="4"/>
  <c r="BM80" i="4"/>
  <c r="BL80" i="4"/>
  <c r="BK80" i="4"/>
  <c r="G69" i="8" s="1"/>
  <c r="BJ80" i="4"/>
  <c r="G76" i="8" s="1"/>
  <c r="BI80" i="4"/>
  <c r="BH80" i="4"/>
  <c r="BG80" i="4"/>
  <c r="BF80" i="4"/>
  <c r="BE80" i="4"/>
  <c r="BD80" i="4"/>
  <c r="BC80" i="4"/>
  <c r="BV79" i="4"/>
  <c r="BU79" i="4"/>
  <c r="BT79" i="4"/>
  <c r="BS79" i="4"/>
  <c r="BR79" i="4"/>
  <c r="BQ79" i="4"/>
  <c r="BP79" i="4"/>
  <c r="BO79" i="4"/>
  <c r="BN79" i="4"/>
  <c r="BM79" i="4"/>
  <c r="BL79" i="4"/>
  <c r="BK79" i="4"/>
  <c r="BJ79" i="4"/>
  <c r="BI79" i="4"/>
  <c r="BH79" i="4"/>
  <c r="BG79" i="4"/>
  <c r="BF79" i="4"/>
  <c r="BE79" i="4"/>
  <c r="BD79" i="4"/>
  <c r="BC79" i="4"/>
  <c r="BV78" i="4"/>
  <c r="BU78" i="4"/>
  <c r="BT78" i="4"/>
  <c r="BS78" i="4"/>
  <c r="BR78" i="4"/>
  <c r="BQ78" i="4"/>
  <c r="BP78" i="4"/>
  <c r="BO78" i="4"/>
  <c r="BN78" i="4"/>
  <c r="BM78" i="4"/>
  <c r="BL78" i="4"/>
  <c r="BK78" i="4"/>
  <c r="I68" i="8" s="1"/>
  <c r="BJ78" i="4"/>
  <c r="BI78" i="4"/>
  <c r="BH78" i="4"/>
  <c r="BG78" i="4"/>
  <c r="BF78" i="4"/>
  <c r="BE78" i="4"/>
  <c r="BD78" i="4"/>
  <c r="BC78" i="4"/>
  <c r="BV77" i="4"/>
  <c r="BU77" i="4"/>
  <c r="BT77" i="4"/>
  <c r="BS77" i="4"/>
  <c r="BR77" i="4"/>
  <c r="BQ77" i="4"/>
  <c r="BP77" i="4"/>
  <c r="BO77" i="4"/>
  <c r="BN77" i="4"/>
  <c r="BM77" i="4"/>
  <c r="BL77" i="4"/>
  <c r="BK77" i="4"/>
  <c r="BJ77" i="4"/>
  <c r="BI77" i="4"/>
  <c r="BH77" i="4"/>
  <c r="BG77" i="4"/>
  <c r="BF77" i="4"/>
  <c r="BE77" i="4"/>
  <c r="BD77" i="4"/>
  <c r="BC77" i="4"/>
  <c r="BV76" i="4"/>
  <c r="BU76" i="4"/>
  <c r="BT76" i="4"/>
  <c r="BS76" i="4"/>
  <c r="BR76" i="4"/>
  <c r="BQ76" i="4"/>
  <c r="BP76" i="4"/>
  <c r="BO76" i="4"/>
  <c r="BN76" i="4"/>
  <c r="BM76" i="4"/>
  <c r="BL76" i="4"/>
  <c r="BK76" i="4"/>
  <c r="BJ76" i="4"/>
  <c r="BI76" i="4"/>
  <c r="BH76" i="4"/>
  <c r="BG76" i="4"/>
  <c r="BF76" i="4"/>
  <c r="BE76" i="4"/>
  <c r="BD76" i="4"/>
  <c r="BC76" i="4"/>
  <c r="BV75" i="4"/>
  <c r="BU75" i="4"/>
  <c r="BT75" i="4"/>
  <c r="BS75" i="4"/>
  <c r="BR75" i="4"/>
  <c r="BQ75" i="4"/>
  <c r="BP75" i="4"/>
  <c r="BO75" i="4"/>
  <c r="BN75" i="4"/>
  <c r="BM75" i="4"/>
  <c r="BL75" i="4"/>
  <c r="BK75" i="4"/>
  <c r="BJ75" i="4"/>
  <c r="BI75" i="4"/>
  <c r="BH75" i="4"/>
  <c r="BG75" i="4"/>
  <c r="BF75" i="4"/>
  <c r="BE75" i="4"/>
  <c r="BD75" i="4"/>
  <c r="BC75" i="4"/>
  <c r="BV74" i="4"/>
  <c r="BU74" i="4"/>
  <c r="BT74" i="4"/>
  <c r="BS74" i="4"/>
  <c r="BR74" i="4"/>
  <c r="BQ74" i="4"/>
  <c r="BP74" i="4"/>
  <c r="BO74" i="4"/>
  <c r="BN74" i="4"/>
  <c r="BM74" i="4"/>
  <c r="BL74" i="4"/>
  <c r="BK74" i="4"/>
  <c r="BJ74" i="4"/>
  <c r="BI74" i="4"/>
  <c r="BH74" i="4"/>
  <c r="BG74" i="4"/>
  <c r="BF74" i="4"/>
  <c r="BE74" i="4"/>
  <c r="BD74" i="4"/>
  <c r="BC74" i="4"/>
  <c r="BV73" i="4"/>
  <c r="BU73" i="4"/>
  <c r="BT73" i="4"/>
  <c r="BS73" i="4"/>
  <c r="BR73" i="4"/>
  <c r="BQ73" i="4"/>
  <c r="BP73" i="4"/>
  <c r="BO73" i="4"/>
  <c r="BN73" i="4"/>
  <c r="BM73" i="4"/>
  <c r="BL73" i="4"/>
  <c r="BK73" i="4"/>
  <c r="BJ73" i="4"/>
  <c r="BI73" i="4"/>
  <c r="BH73" i="4"/>
  <c r="BG73" i="4"/>
  <c r="BF73" i="4"/>
  <c r="BE73" i="4"/>
  <c r="BD73" i="4"/>
  <c r="BC73" i="4"/>
  <c r="BV72" i="4"/>
  <c r="BU72" i="4"/>
  <c r="BT72" i="4"/>
  <c r="BS72" i="4"/>
  <c r="BR72" i="4"/>
  <c r="BQ72" i="4"/>
  <c r="BP72" i="4"/>
  <c r="BO72" i="4"/>
  <c r="BN72" i="4"/>
  <c r="BM72" i="4"/>
  <c r="BL72" i="4"/>
  <c r="BK72" i="4"/>
  <c r="BJ72" i="4"/>
  <c r="BI72" i="4"/>
  <c r="BH72" i="4"/>
  <c r="BG72" i="4"/>
  <c r="BF72" i="4"/>
  <c r="BE72" i="4"/>
  <c r="BD72" i="4"/>
  <c r="BC72" i="4"/>
  <c r="BV71" i="4"/>
  <c r="BU71" i="4"/>
  <c r="BT71" i="4"/>
  <c r="BS71" i="4"/>
  <c r="BR71" i="4"/>
  <c r="BQ71" i="4"/>
  <c r="BP71" i="4"/>
  <c r="BO71" i="4"/>
  <c r="BN71" i="4"/>
  <c r="BM71" i="4"/>
  <c r="BL71" i="4"/>
  <c r="BK71" i="4"/>
  <c r="BJ71" i="4"/>
  <c r="BI71" i="4"/>
  <c r="BH71" i="4"/>
  <c r="BG71" i="4"/>
  <c r="BF71" i="4"/>
  <c r="BE71" i="4"/>
  <c r="BD71" i="4"/>
  <c r="BC71" i="4"/>
  <c r="BV70" i="4"/>
  <c r="BU70" i="4"/>
  <c r="BT70" i="4"/>
  <c r="BS70" i="4"/>
  <c r="BR70" i="4"/>
  <c r="BQ70" i="4"/>
  <c r="BP70" i="4"/>
  <c r="BO70" i="4"/>
  <c r="BN70" i="4"/>
  <c r="BM70" i="4"/>
  <c r="BL70" i="4"/>
  <c r="BK70" i="4"/>
  <c r="BJ70" i="4"/>
  <c r="BI70" i="4"/>
  <c r="BH70" i="4"/>
  <c r="BG70" i="4"/>
  <c r="BF70" i="4"/>
  <c r="BE70" i="4"/>
  <c r="BD70" i="4"/>
  <c r="BC70" i="4"/>
  <c r="BV69" i="4"/>
  <c r="BU69" i="4"/>
  <c r="BT69" i="4"/>
  <c r="BS69" i="4"/>
  <c r="BR69" i="4"/>
  <c r="BQ69" i="4"/>
  <c r="BP69" i="4"/>
  <c r="BO69" i="4"/>
  <c r="BN69" i="4"/>
  <c r="BM69" i="4"/>
  <c r="BL69" i="4"/>
  <c r="BK69" i="4"/>
  <c r="BJ69" i="4"/>
  <c r="BI69" i="4"/>
  <c r="BH69" i="4"/>
  <c r="BG69" i="4"/>
  <c r="BF69" i="4"/>
  <c r="BE69" i="4"/>
  <c r="BD69" i="4"/>
  <c r="BC69" i="4"/>
  <c r="BV68" i="4"/>
  <c r="BU68" i="4"/>
  <c r="BT68" i="4"/>
  <c r="BS68" i="4"/>
  <c r="BR68" i="4"/>
  <c r="BQ68" i="4"/>
  <c r="BP68" i="4"/>
  <c r="BO68" i="4"/>
  <c r="BN68" i="4"/>
  <c r="BM68" i="4"/>
  <c r="BL68" i="4"/>
  <c r="BK68" i="4"/>
  <c r="BJ68" i="4"/>
  <c r="BI68" i="4"/>
  <c r="BH68" i="4"/>
  <c r="BG68" i="4"/>
  <c r="BF68" i="4"/>
  <c r="BE68" i="4"/>
  <c r="BD68" i="4"/>
  <c r="BC68" i="4"/>
  <c r="BV67" i="4"/>
  <c r="BU67" i="4"/>
  <c r="BT67" i="4"/>
  <c r="BS67" i="4"/>
  <c r="BR67" i="4"/>
  <c r="BQ67" i="4"/>
  <c r="BP67" i="4"/>
  <c r="BO67" i="4"/>
  <c r="BN67" i="4"/>
  <c r="BM67" i="4"/>
  <c r="BL67" i="4"/>
  <c r="BK67" i="4"/>
  <c r="BJ67" i="4"/>
  <c r="BI67" i="4"/>
  <c r="BH67" i="4"/>
  <c r="BG67" i="4"/>
  <c r="BF67" i="4"/>
  <c r="BE67" i="4"/>
  <c r="BD67" i="4"/>
  <c r="BC67" i="4"/>
  <c r="BV66" i="4"/>
  <c r="BU66" i="4"/>
  <c r="BT66" i="4"/>
  <c r="BS66" i="4"/>
  <c r="BR66" i="4"/>
  <c r="BQ66" i="4"/>
  <c r="BP66" i="4"/>
  <c r="BO66" i="4"/>
  <c r="BN66" i="4"/>
  <c r="BM66" i="4"/>
  <c r="BL66" i="4"/>
  <c r="BK66" i="4"/>
  <c r="BJ66" i="4"/>
  <c r="BI66" i="4"/>
  <c r="BH66" i="4"/>
  <c r="BG66" i="4"/>
  <c r="BF66" i="4"/>
  <c r="BE66" i="4"/>
  <c r="BD66" i="4"/>
  <c r="BC66" i="4"/>
  <c r="BV65" i="4"/>
  <c r="BU65" i="4"/>
  <c r="BT65" i="4"/>
  <c r="BS65" i="4"/>
  <c r="BR65" i="4"/>
  <c r="BQ65" i="4"/>
  <c r="BP65" i="4"/>
  <c r="BO65" i="4"/>
  <c r="BN65" i="4"/>
  <c r="BM65" i="4"/>
  <c r="BL65" i="4"/>
  <c r="BK65" i="4"/>
  <c r="R67" i="8" s="1"/>
  <c r="BJ65" i="4"/>
  <c r="R74" i="8" s="1"/>
  <c r="BI65" i="4"/>
  <c r="BH65" i="4"/>
  <c r="BG65" i="4"/>
  <c r="BF65" i="4"/>
  <c r="BE65" i="4"/>
  <c r="BD65" i="4"/>
  <c r="BC65" i="4"/>
  <c r="BV64" i="4"/>
  <c r="BU64" i="4"/>
  <c r="BT64" i="4"/>
  <c r="BS64" i="4"/>
  <c r="BR64" i="4"/>
  <c r="BQ64" i="4"/>
  <c r="BP64" i="4"/>
  <c r="BO64" i="4"/>
  <c r="BN64" i="4"/>
  <c r="BM64" i="4"/>
  <c r="BL64" i="4"/>
  <c r="BK64" i="4"/>
  <c r="BJ64" i="4"/>
  <c r="BI64" i="4"/>
  <c r="BH64" i="4"/>
  <c r="BG64" i="4"/>
  <c r="BF64" i="4"/>
  <c r="BE64" i="4"/>
  <c r="BD64" i="4"/>
  <c r="BC64" i="4"/>
  <c r="BV63" i="4"/>
  <c r="BU63" i="4"/>
  <c r="BT63" i="4"/>
  <c r="BS63" i="4"/>
  <c r="BR63" i="4"/>
  <c r="BQ63" i="4"/>
  <c r="BP63" i="4"/>
  <c r="BO63" i="4"/>
  <c r="BN63" i="4"/>
  <c r="BM63" i="4"/>
  <c r="BL63" i="4"/>
  <c r="BK63" i="4"/>
  <c r="BJ63" i="4"/>
  <c r="BI63" i="4"/>
  <c r="BH63" i="4"/>
  <c r="BG63" i="4"/>
  <c r="BF63" i="4"/>
  <c r="BE63" i="4"/>
  <c r="BD63" i="4"/>
  <c r="BC63" i="4"/>
  <c r="BV62" i="4"/>
  <c r="BU62" i="4"/>
  <c r="BT62" i="4"/>
  <c r="BS62" i="4"/>
  <c r="BR62" i="4"/>
  <c r="BQ62" i="4"/>
  <c r="BP62" i="4"/>
  <c r="BO62" i="4"/>
  <c r="BN62" i="4"/>
  <c r="BM62" i="4"/>
  <c r="BL62" i="4"/>
  <c r="BK62" i="4"/>
  <c r="BJ62" i="4"/>
  <c r="BI62" i="4"/>
  <c r="BH62" i="4"/>
  <c r="BG62" i="4"/>
  <c r="BF62" i="4"/>
  <c r="BE62" i="4"/>
  <c r="BD62" i="4"/>
  <c r="BC62" i="4"/>
  <c r="BV61" i="4"/>
  <c r="BU61" i="4"/>
  <c r="BT61" i="4"/>
  <c r="BS61" i="4"/>
  <c r="BR61" i="4"/>
  <c r="BQ61" i="4"/>
  <c r="BP61" i="4"/>
  <c r="BO61" i="4"/>
  <c r="BN61" i="4"/>
  <c r="BM61" i="4"/>
  <c r="BL61" i="4"/>
  <c r="BK61" i="4"/>
  <c r="BJ61" i="4"/>
  <c r="BI61" i="4"/>
  <c r="BH61" i="4"/>
  <c r="BG61" i="4"/>
  <c r="BF61" i="4"/>
  <c r="BE61" i="4"/>
  <c r="BD61" i="4"/>
  <c r="BC61" i="4"/>
  <c r="BV60" i="4"/>
  <c r="BU60" i="4"/>
  <c r="BT60" i="4"/>
  <c r="BS60" i="4"/>
  <c r="BR60" i="4"/>
  <c r="BQ60" i="4"/>
  <c r="BP60" i="4"/>
  <c r="BO60" i="4"/>
  <c r="BN60" i="4"/>
  <c r="BM60" i="4"/>
  <c r="BL60" i="4"/>
  <c r="BK60" i="4"/>
  <c r="BJ60" i="4"/>
  <c r="BI60" i="4"/>
  <c r="BH60" i="4"/>
  <c r="BG60" i="4"/>
  <c r="BF60" i="4"/>
  <c r="BE60" i="4"/>
  <c r="BD60" i="4"/>
  <c r="BC60" i="4"/>
  <c r="BV59" i="4"/>
  <c r="BU59" i="4"/>
  <c r="BT59" i="4"/>
  <c r="BS59" i="4"/>
  <c r="BR59" i="4"/>
  <c r="BQ59" i="4"/>
  <c r="BP59" i="4"/>
  <c r="BO59" i="4"/>
  <c r="BN59" i="4"/>
  <c r="BM59" i="4"/>
  <c r="BL59" i="4"/>
  <c r="BK59" i="4"/>
  <c r="BJ59" i="4"/>
  <c r="BI59" i="4"/>
  <c r="BH59" i="4"/>
  <c r="BG59" i="4"/>
  <c r="BF59" i="4"/>
  <c r="BE59" i="4"/>
  <c r="BD59" i="4"/>
  <c r="BC59" i="4"/>
  <c r="BV58" i="4"/>
  <c r="BU58" i="4"/>
  <c r="BT58" i="4"/>
  <c r="BS58" i="4"/>
  <c r="BR58" i="4"/>
  <c r="BQ58" i="4"/>
  <c r="BP58" i="4"/>
  <c r="BO58" i="4"/>
  <c r="BN58" i="4"/>
  <c r="BM58" i="4"/>
  <c r="BL58" i="4"/>
  <c r="BK58" i="4"/>
  <c r="BJ58" i="4"/>
  <c r="BI58" i="4"/>
  <c r="BH58" i="4"/>
  <c r="BG58" i="4"/>
  <c r="BF58" i="4"/>
  <c r="BE58" i="4"/>
  <c r="BD58" i="4"/>
  <c r="BC58" i="4"/>
  <c r="BV57" i="4"/>
  <c r="BU57" i="4"/>
  <c r="BT57" i="4"/>
  <c r="BS57" i="4"/>
  <c r="BR57" i="4"/>
  <c r="BQ57" i="4"/>
  <c r="BP57" i="4"/>
  <c r="BO57" i="4"/>
  <c r="BN57" i="4"/>
  <c r="BM57" i="4"/>
  <c r="BL57" i="4"/>
  <c r="BK57" i="4"/>
  <c r="BJ57" i="4"/>
  <c r="BI57" i="4"/>
  <c r="BH57" i="4"/>
  <c r="BG57" i="4"/>
  <c r="BF57" i="4"/>
  <c r="BE57" i="4"/>
  <c r="BD57" i="4"/>
  <c r="BC57" i="4"/>
  <c r="BV56" i="4"/>
  <c r="BU56" i="4"/>
  <c r="BT56" i="4"/>
  <c r="BS56" i="4"/>
  <c r="BR56" i="4"/>
  <c r="BQ56" i="4"/>
  <c r="BP56" i="4"/>
  <c r="BO56" i="4"/>
  <c r="BN56" i="4"/>
  <c r="BM56" i="4"/>
  <c r="BL56" i="4"/>
  <c r="BK56" i="4"/>
  <c r="BJ56" i="4"/>
  <c r="BI56" i="4"/>
  <c r="BH56" i="4"/>
  <c r="BG56" i="4"/>
  <c r="BF56" i="4"/>
  <c r="BE56" i="4"/>
  <c r="BD56" i="4"/>
  <c r="BC56" i="4"/>
  <c r="BV55" i="4"/>
  <c r="BU55" i="4"/>
  <c r="BT55" i="4"/>
  <c r="BS55" i="4"/>
  <c r="BR55" i="4"/>
  <c r="BQ55" i="4"/>
  <c r="BP55" i="4"/>
  <c r="BO55" i="4"/>
  <c r="BN55" i="4"/>
  <c r="BM55" i="4"/>
  <c r="BL55" i="4"/>
  <c r="BK55" i="4"/>
  <c r="BJ55" i="4"/>
  <c r="BI55" i="4"/>
  <c r="BH55" i="4"/>
  <c r="BG55" i="4"/>
  <c r="BF55" i="4"/>
  <c r="BE55" i="4"/>
  <c r="BD55" i="4"/>
  <c r="BC55" i="4"/>
  <c r="BV54" i="4"/>
  <c r="BU54" i="4"/>
  <c r="BT54" i="4"/>
  <c r="BS54" i="4"/>
  <c r="BR54" i="4"/>
  <c r="BQ54" i="4"/>
  <c r="BP54" i="4"/>
  <c r="BO54" i="4"/>
  <c r="BN54" i="4"/>
  <c r="BM54" i="4"/>
  <c r="BL54" i="4"/>
  <c r="BK54" i="4"/>
  <c r="BJ54" i="4"/>
  <c r="BI54" i="4"/>
  <c r="BH54" i="4"/>
  <c r="BG54" i="4"/>
  <c r="BF54" i="4"/>
  <c r="BE54" i="4"/>
  <c r="BD54" i="4"/>
  <c r="BC54" i="4"/>
  <c r="BV53" i="4"/>
  <c r="BU53" i="4"/>
  <c r="BT53" i="4"/>
  <c r="BS53" i="4"/>
  <c r="BR53" i="4"/>
  <c r="BQ53" i="4"/>
  <c r="BP53" i="4"/>
  <c r="BO53" i="4"/>
  <c r="BN53" i="4"/>
  <c r="BM53" i="4"/>
  <c r="BL53" i="4"/>
  <c r="BK53" i="4"/>
  <c r="H69" i="8" s="1"/>
  <c r="BJ53" i="4"/>
  <c r="H76" i="8" s="1"/>
  <c r="BI53" i="4"/>
  <c r="BH53" i="4"/>
  <c r="BG53" i="4"/>
  <c r="BF53" i="4"/>
  <c r="BE53" i="4"/>
  <c r="BD53" i="4"/>
  <c r="BC53" i="4"/>
  <c r="BV52" i="4"/>
  <c r="BU52" i="4"/>
  <c r="BT52" i="4"/>
  <c r="BS52" i="4"/>
  <c r="BR52" i="4"/>
  <c r="BQ52" i="4"/>
  <c r="BP52" i="4"/>
  <c r="BO52" i="4"/>
  <c r="BN52" i="4"/>
  <c r="BM52" i="4"/>
  <c r="BL52" i="4"/>
  <c r="BK52" i="4"/>
  <c r="BJ52" i="4"/>
  <c r="BI52" i="4"/>
  <c r="BH52" i="4"/>
  <c r="BG52" i="4"/>
  <c r="BF52" i="4"/>
  <c r="BE52" i="4"/>
  <c r="BD52" i="4"/>
  <c r="BC52" i="4"/>
  <c r="BV51" i="4"/>
  <c r="G98" i="8" s="1"/>
  <c r="BU51" i="4"/>
  <c r="BT51" i="4"/>
  <c r="BS51" i="4"/>
  <c r="BR51" i="4"/>
  <c r="BQ51" i="4"/>
  <c r="BP51" i="4"/>
  <c r="BO51" i="4"/>
  <c r="BN51" i="4"/>
  <c r="BM51" i="4"/>
  <c r="BL51" i="4"/>
  <c r="BK51" i="4"/>
  <c r="G68" i="8" s="1"/>
  <c r="BJ51" i="4"/>
  <c r="G75" i="8" s="1"/>
  <c r="BI51" i="4"/>
  <c r="BH51" i="4"/>
  <c r="BG51" i="4"/>
  <c r="BF51" i="4"/>
  <c r="BE51" i="4"/>
  <c r="BD51" i="4"/>
  <c r="BC51" i="4"/>
  <c r="BV50" i="4"/>
  <c r="BU50" i="4"/>
  <c r="BT50" i="4"/>
  <c r="BS50" i="4"/>
  <c r="BR50" i="4"/>
  <c r="BQ50" i="4"/>
  <c r="BP50" i="4"/>
  <c r="BO50" i="4"/>
  <c r="BN50" i="4"/>
  <c r="BM50" i="4"/>
  <c r="BL50" i="4"/>
  <c r="BK50" i="4"/>
  <c r="BJ50" i="4"/>
  <c r="BI50" i="4"/>
  <c r="BH50" i="4"/>
  <c r="BG50" i="4"/>
  <c r="BF50" i="4"/>
  <c r="BE50" i="4"/>
  <c r="BD50" i="4"/>
  <c r="BC50" i="4"/>
  <c r="BV49" i="4"/>
  <c r="BU49" i="4"/>
  <c r="BT49" i="4"/>
  <c r="BS49" i="4"/>
  <c r="BR49" i="4"/>
  <c r="BQ49" i="4"/>
  <c r="BP49" i="4"/>
  <c r="BO49" i="4"/>
  <c r="BN49" i="4"/>
  <c r="BM49" i="4"/>
  <c r="BL49" i="4"/>
  <c r="BK49" i="4"/>
  <c r="BJ49" i="4"/>
  <c r="BI49" i="4"/>
  <c r="BH49" i="4"/>
  <c r="BG49" i="4"/>
  <c r="BF49" i="4"/>
  <c r="BE49" i="4"/>
  <c r="BD49" i="4"/>
  <c r="BC49" i="4"/>
  <c r="BV48" i="4"/>
  <c r="BU48" i="4"/>
  <c r="BT48" i="4"/>
  <c r="BS48" i="4"/>
  <c r="BR48" i="4"/>
  <c r="BQ48" i="4"/>
  <c r="BP48" i="4"/>
  <c r="BO48" i="4"/>
  <c r="BN48" i="4"/>
  <c r="BM48" i="4"/>
  <c r="BL48" i="4"/>
  <c r="BK48" i="4"/>
  <c r="BJ48" i="4"/>
  <c r="BI48" i="4"/>
  <c r="BH48" i="4"/>
  <c r="BG48" i="4"/>
  <c r="BF48" i="4"/>
  <c r="BE48" i="4"/>
  <c r="BD48" i="4"/>
  <c r="BC48" i="4"/>
  <c r="BV47" i="4"/>
  <c r="F99" i="8" s="1"/>
  <c r="BU47" i="4"/>
  <c r="F106" i="8" s="1"/>
  <c r="BT47" i="4"/>
  <c r="BS47" i="4"/>
  <c r="BR47" i="4"/>
  <c r="BQ47" i="4"/>
  <c r="BP47" i="4"/>
  <c r="BO47" i="4"/>
  <c r="BN47" i="4"/>
  <c r="BM47" i="4"/>
  <c r="BL47" i="4"/>
  <c r="BK47" i="4"/>
  <c r="F69" i="8" s="1"/>
  <c r="BJ47" i="4"/>
  <c r="F76" i="8" s="1"/>
  <c r="BI47" i="4"/>
  <c r="BH47" i="4"/>
  <c r="BG47" i="4"/>
  <c r="BF47" i="4"/>
  <c r="BE47" i="4"/>
  <c r="BD47" i="4"/>
  <c r="BC47" i="4"/>
  <c r="BV46" i="4"/>
  <c r="BU46" i="4"/>
  <c r="BT46" i="4"/>
  <c r="BS46" i="4"/>
  <c r="BR46" i="4"/>
  <c r="BQ46" i="4"/>
  <c r="BP46" i="4"/>
  <c r="BO46" i="4"/>
  <c r="BN46" i="4"/>
  <c r="BM46" i="4"/>
  <c r="BL46" i="4"/>
  <c r="BK46" i="4"/>
  <c r="BJ46" i="4"/>
  <c r="BI46" i="4"/>
  <c r="BH46" i="4"/>
  <c r="BG46" i="4"/>
  <c r="BF46" i="4"/>
  <c r="BE46" i="4"/>
  <c r="BD46" i="4"/>
  <c r="BC46" i="4"/>
  <c r="BV45" i="4"/>
  <c r="K95" i="8" s="1"/>
  <c r="BU45" i="4"/>
  <c r="BT45" i="4"/>
  <c r="BS45" i="4"/>
  <c r="BR45" i="4"/>
  <c r="BQ45" i="4"/>
  <c r="BP45" i="4"/>
  <c r="BO45" i="4"/>
  <c r="BN45" i="4"/>
  <c r="BM45" i="4"/>
  <c r="BL45" i="4"/>
  <c r="BK45" i="4"/>
  <c r="K69" i="8" s="1"/>
  <c r="BJ45" i="4"/>
  <c r="BI45" i="4"/>
  <c r="BH45" i="4"/>
  <c r="BG45" i="4"/>
  <c r="BF45" i="4"/>
  <c r="BE45" i="4"/>
  <c r="BD45" i="4"/>
  <c r="BC45" i="4"/>
  <c r="BV44" i="4"/>
  <c r="BU44" i="4"/>
  <c r="BT44" i="4"/>
  <c r="BS44" i="4"/>
  <c r="BR44" i="4"/>
  <c r="BQ44" i="4"/>
  <c r="BP44" i="4"/>
  <c r="BO44" i="4"/>
  <c r="BN44" i="4"/>
  <c r="BM44" i="4"/>
  <c r="BL44" i="4"/>
  <c r="BK44" i="4"/>
  <c r="BJ44" i="4"/>
  <c r="BI44" i="4"/>
  <c r="BH44" i="4"/>
  <c r="BG44" i="4"/>
  <c r="BF44" i="4"/>
  <c r="BE44" i="4"/>
  <c r="BD44" i="4"/>
  <c r="BC44" i="4"/>
  <c r="BV43" i="4"/>
  <c r="BU43" i="4"/>
  <c r="BT43" i="4"/>
  <c r="BS43" i="4"/>
  <c r="BR43" i="4"/>
  <c r="BQ43" i="4"/>
  <c r="BP43" i="4"/>
  <c r="BO43" i="4"/>
  <c r="BN43" i="4"/>
  <c r="BM43" i="4"/>
  <c r="BL43" i="4"/>
  <c r="BK43" i="4"/>
  <c r="BJ43" i="4"/>
  <c r="BI43" i="4"/>
  <c r="BH43" i="4"/>
  <c r="BG43" i="4"/>
  <c r="BF43" i="4"/>
  <c r="BE43" i="4"/>
  <c r="BD43" i="4"/>
  <c r="BC43" i="4"/>
  <c r="BV42" i="4"/>
  <c r="BU42" i="4"/>
  <c r="BT42" i="4"/>
  <c r="BS42" i="4"/>
  <c r="BR42" i="4"/>
  <c r="BQ42" i="4"/>
  <c r="BP42" i="4"/>
  <c r="BO42" i="4"/>
  <c r="BN42" i="4"/>
  <c r="BM42" i="4"/>
  <c r="BL42" i="4"/>
  <c r="BK42" i="4"/>
  <c r="BJ42" i="4"/>
  <c r="BI42" i="4"/>
  <c r="BH42" i="4"/>
  <c r="BG42" i="4"/>
  <c r="BF42" i="4"/>
  <c r="BE42" i="4"/>
  <c r="BD42" i="4"/>
  <c r="BC42" i="4"/>
  <c r="BV41" i="4"/>
  <c r="BU41" i="4"/>
  <c r="BT41" i="4"/>
  <c r="BS41" i="4"/>
  <c r="BR41" i="4"/>
  <c r="BQ41" i="4"/>
  <c r="BP41" i="4"/>
  <c r="BO41" i="4"/>
  <c r="BN41" i="4"/>
  <c r="BM41" i="4"/>
  <c r="BL41" i="4"/>
  <c r="BK41" i="4"/>
  <c r="BJ41" i="4"/>
  <c r="BI41" i="4"/>
  <c r="BH41" i="4"/>
  <c r="BG41" i="4"/>
  <c r="BF41" i="4"/>
  <c r="BE41" i="4"/>
  <c r="BD41" i="4"/>
  <c r="BC41" i="4"/>
  <c r="BV40" i="4"/>
  <c r="M98" i="8" s="1"/>
  <c r="BU40" i="4"/>
  <c r="M105" i="8" s="1"/>
  <c r="BT40" i="4"/>
  <c r="BS40" i="4"/>
  <c r="BR40" i="4"/>
  <c r="BQ40" i="4"/>
  <c r="BP40" i="4"/>
  <c r="BO40" i="4"/>
  <c r="BN40" i="4"/>
  <c r="BM40" i="4"/>
  <c r="BL40" i="4"/>
  <c r="BK40" i="4"/>
  <c r="M68" i="8" s="1"/>
  <c r="BJ40" i="4"/>
  <c r="M75" i="8" s="1"/>
  <c r="BI40" i="4"/>
  <c r="BH40" i="4"/>
  <c r="BG40" i="4"/>
  <c r="BF40" i="4"/>
  <c r="BE40" i="4"/>
  <c r="BD40" i="4"/>
  <c r="BC40" i="4"/>
  <c r="BV39" i="4"/>
  <c r="BU39" i="4"/>
  <c r="BT39" i="4"/>
  <c r="BS39" i="4"/>
  <c r="BR39" i="4"/>
  <c r="BQ39" i="4"/>
  <c r="BP39" i="4"/>
  <c r="BO39" i="4"/>
  <c r="BN39" i="4"/>
  <c r="BM39" i="4"/>
  <c r="BL39" i="4"/>
  <c r="BK39" i="4"/>
  <c r="BJ39" i="4"/>
  <c r="BI39" i="4"/>
  <c r="BH39" i="4"/>
  <c r="BG39" i="4"/>
  <c r="BF39" i="4"/>
  <c r="BE39" i="4"/>
  <c r="BD39" i="4"/>
  <c r="BC39" i="4"/>
  <c r="BV38" i="4"/>
  <c r="BU38" i="4"/>
  <c r="BT38" i="4"/>
  <c r="BS38" i="4"/>
  <c r="BR38" i="4"/>
  <c r="BQ38" i="4"/>
  <c r="BP38" i="4"/>
  <c r="BO38" i="4"/>
  <c r="BN38" i="4"/>
  <c r="BM38" i="4"/>
  <c r="BL38" i="4"/>
  <c r="BK38" i="4"/>
  <c r="BJ38" i="4"/>
  <c r="BI38" i="4"/>
  <c r="BH38" i="4"/>
  <c r="BG38" i="4"/>
  <c r="BF38" i="4"/>
  <c r="BE38" i="4"/>
  <c r="BD38" i="4"/>
  <c r="BC38" i="4"/>
  <c r="BV37" i="4"/>
  <c r="BU37" i="4"/>
  <c r="N105" i="8" s="1"/>
  <c r="BT37" i="4"/>
  <c r="BS37" i="4"/>
  <c r="BR37" i="4"/>
  <c r="BQ37" i="4"/>
  <c r="BP37" i="4"/>
  <c r="BO37" i="4"/>
  <c r="BN37" i="4"/>
  <c r="BM37" i="4"/>
  <c r="BL37" i="4"/>
  <c r="BK37" i="4"/>
  <c r="N68" i="8" s="1"/>
  <c r="BJ37" i="4"/>
  <c r="BI37" i="4"/>
  <c r="BH37" i="4"/>
  <c r="BG37" i="4"/>
  <c r="BF37" i="4"/>
  <c r="BE37" i="4"/>
  <c r="BD37" i="4"/>
  <c r="BC37" i="4"/>
  <c r="BV36" i="4"/>
  <c r="BU36" i="4"/>
  <c r="BT36" i="4"/>
  <c r="BS36" i="4"/>
  <c r="BR36" i="4"/>
  <c r="BQ36" i="4"/>
  <c r="BP36" i="4"/>
  <c r="BO36" i="4"/>
  <c r="BN36" i="4"/>
  <c r="BM36" i="4"/>
  <c r="BL36" i="4"/>
  <c r="BK36" i="4"/>
  <c r="BJ36" i="4"/>
  <c r="BI36" i="4"/>
  <c r="BH36" i="4"/>
  <c r="BG36" i="4"/>
  <c r="BF36" i="4"/>
  <c r="BE36" i="4"/>
  <c r="BD36" i="4"/>
  <c r="BC36" i="4"/>
  <c r="BV35" i="4"/>
  <c r="BU35" i="4"/>
  <c r="BT35" i="4"/>
  <c r="BS35" i="4"/>
  <c r="BR35" i="4"/>
  <c r="BQ35" i="4"/>
  <c r="BP35" i="4"/>
  <c r="BO35" i="4"/>
  <c r="BN35" i="4"/>
  <c r="BM35" i="4"/>
  <c r="BL35" i="4"/>
  <c r="BK35" i="4"/>
  <c r="BJ35" i="4"/>
  <c r="BI35" i="4"/>
  <c r="BH35" i="4"/>
  <c r="BG35" i="4"/>
  <c r="BF35" i="4"/>
  <c r="BE35" i="4"/>
  <c r="BD35" i="4"/>
  <c r="BC35" i="4"/>
  <c r="BV34" i="4"/>
  <c r="BU34" i="4"/>
  <c r="BT34" i="4"/>
  <c r="BS34" i="4"/>
  <c r="BR34" i="4"/>
  <c r="BQ34" i="4"/>
  <c r="BP34" i="4"/>
  <c r="BO34" i="4"/>
  <c r="BN34" i="4"/>
  <c r="BM34" i="4"/>
  <c r="BL34" i="4"/>
  <c r="BK34" i="4"/>
  <c r="BJ34" i="4"/>
  <c r="BI34" i="4"/>
  <c r="BH34" i="4"/>
  <c r="BG34" i="4"/>
  <c r="BF34" i="4"/>
  <c r="BE34" i="4"/>
  <c r="BD34" i="4"/>
  <c r="BC34" i="4"/>
  <c r="BV33" i="4"/>
  <c r="BU33" i="4"/>
  <c r="BT33" i="4"/>
  <c r="BS33" i="4"/>
  <c r="BR33" i="4"/>
  <c r="BQ33" i="4"/>
  <c r="BP33" i="4"/>
  <c r="BO33" i="4"/>
  <c r="BN33" i="4"/>
  <c r="BM33" i="4"/>
  <c r="BL33" i="4"/>
  <c r="BK33" i="4"/>
  <c r="B69" i="8" s="1"/>
  <c r="BJ33" i="4"/>
  <c r="B76" i="8" s="1"/>
  <c r="BI33" i="4"/>
  <c r="BH33" i="4"/>
  <c r="BG33" i="4"/>
  <c r="BF33" i="4"/>
  <c r="BE33" i="4"/>
  <c r="BD33" i="4"/>
  <c r="BC33" i="4"/>
  <c r="BV32" i="4"/>
  <c r="C96" i="8" s="1"/>
  <c r="BU32" i="4"/>
  <c r="C103" i="8" s="1"/>
  <c r="BT32" i="4"/>
  <c r="BS32" i="4"/>
  <c r="BR32" i="4"/>
  <c r="BQ32" i="4"/>
  <c r="BP32" i="4"/>
  <c r="BO32" i="4"/>
  <c r="BN32" i="4"/>
  <c r="BM32" i="4"/>
  <c r="BL32" i="4"/>
  <c r="BK32" i="4"/>
  <c r="C66" i="8" s="1"/>
  <c r="BJ32" i="4"/>
  <c r="C73" i="8" s="1"/>
  <c r="BI32" i="4"/>
  <c r="BH32" i="4"/>
  <c r="BG32" i="4"/>
  <c r="BF32" i="4"/>
  <c r="BE32" i="4"/>
  <c r="BD32" i="4"/>
  <c r="BC32" i="4"/>
  <c r="BV31" i="4"/>
  <c r="L99" i="8" s="1"/>
  <c r="BU31" i="4"/>
  <c r="L106" i="8" s="1"/>
  <c r="BT31" i="4"/>
  <c r="BS31" i="4"/>
  <c r="BR31" i="4"/>
  <c r="BQ31" i="4"/>
  <c r="BP31" i="4"/>
  <c r="BO31" i="4"/>
  <c r="BN31" i="4"/>
  <c r="BM31" i="4"/>
  <c r="BL31" i="4"/>
  <c r="BK31" i="4"/>
  <c r="L69" i="8" s="1"/>
  <c r="BJ31" i="4"/>
  <c r="L76" i="8" s="1"/>
  <c r="BI31" i="4"/>
  <c r="BH31" i="4"/>
  <c r="BG31" i="4"/>
  <c r="BF31" i="4"/>
  <c r="BE31" i="4"/>
  <c r="BD31" i="4"/>
  <c r="BC31" i="4"/>
  <c r="BV30" i="4"/>
  <c r="BU30" i="4"/>
  <c r="BT30" i="4"/>
  <c r="BS30" i="4"/>
  <c r="BR30" i="4"/>
  <c r="BQ30" i="4"/>
  <c r="BP30" i="4"/>
  <c r="BO30" i="4"/>
  <c r="BN30" i="4"/>
  <c r="BM30" i="4"/>
  <c r="BL30" i="4"/>
  <c r="BK30" i="4"/>
  <c r="BJ30" i="4"/>
  <c r="BI30" i="4"/>
  <c r="BH30" i="4"/>
  <c r="BG30" i="4"/>
  <c r="BF30" i="4"/>
  <c r="BE30" i="4"/>
  <c r="BD30" i="4"/>
  <c r="BC30" i="4"/>
  <c r="BV29" i="4"/>
  <c r="BU29" i="4"/>
  <c r="BT29" i="4"/>
  <c r="BS29" i="4"/>
  <c r="BR29" i="4"/>
  <c r="BQ29" i="4"/>
  <c r="BP29" i="4"/>
  <c r="BO29" i="4"/>
  <c r="BN29" i="4"/>
  <c r="BM29" i="4"/>
  <c r="BL29" i="4"/>
  <c r="BK29" i="4"/>
  <c r="BJ29" i="4"/>
  <c r="BI29" i="4"/>
  <c r="BH29" i="4"/>
  <c r="BG29" i="4"/>
  <c r="BF29" i="4"/>
  <c r="BE29" i="4"/>
  <c r="BD29" i="4"/>
  <c r="BC29" i="4"/>
  <c r="BV28" i="4"/>
  <c r="BU28" i="4"/>
  <c r="BT28" i="4"/>
  <c r="BS28" i="4"/>
  <c r="BR28" i="4"/>
  <c r="BQ28" i="4"/>
  <c r="BP28" i="4"/>
  <c r="BO28" i="4"/>
  <c r="BN28" i="4"/>
  <c r="BM28" i="4"/>
  <c r="BL28" i="4"/>
  <c r="BK28" i="4"/>
  <c r="BJ28" i="4"/>
  <c r="BI28" i="4"/>
  <c r="BH28" i="4"/>
  <c r="BG28" i="4"/>
  <c r="BF28" i="4"/>
  <c r="BE28" i="4"/>
  <c r="BD28" i="4"/>
  <c r="BC28" i="4"/>
  <c r="BV27" i="4"/>
  <c r="BU27" i="4"/>
  <c r="BT27" i="4"/>
  <c r="BS27" i="4"/>
  <c r="BR27" i="4"/>
  <c r="BQ27" i="4"/>
  <c r="BP27" i="4"/>
  <c r="BO27" i="4"/>
  <c r="BN27" i="4"/>
  <c r="BM27" i="4"/>
  <c r="BL27" i="4"/>
  <c r="BK27" i="4"/>
  <c r="BJ27" i="4"/>
  <c r="BI27" i="4"/>
  <c r="BH27" i="4"/>
  <c r="BG27" i="4"/>
  <c r="BF27" i="4"/>
  <c r="BE27" i="4"/>
  <c r="BD27" i="4"/>
  <c r="BC27" i="4"/>
  <c r="BV26" i="4"/>
  <c r="BU26" i="4"/>
  <c r="BT26" i="4"/>
  <c r="BS26" i="4"/>
  <c r="BR26" i="4"/>
  <c r="BQ26" i="4"/>
  <c r="BP26" i="4"/>
  <c r="BO26" i="4"/>
  <c r="BN26" i="4"/>
  <c r="BM26" i="4"/>
  <c r="BL26" i="4"/>
  <c r="BK26" i="4"/>
  <c r="BJ26" i="4"/>
  <c r="BI26" i="4"/>
  <c r="BH26" i="4"/>
  <c r="BG26" i="4"/>
  <c r="BF26" i="4"/>
  <c r="BE26" i="4"/>
  <c r="BD26" i="4"/>
  <c r="BC26" i="4"/>
  <c r="BV25" i="4"/>
  <c r="BU25" i="4"/>
  <c r="BT25" i="4"/>
  <c r="BS25" i="4"/>
  <c r="BR25" i="4"/>
  <c r="BQ25" i="4"/>
  <c r="BP25" i="4"/>
  <c r="BO25" i="4"/>
  <c r="BN25" i="4"/>
  <c r="BM25" i="4"/>
  <c r="BL25" i="4"/>
  <c r="BK25" i="4"/>
  <c r="BJ25" i="4"/>
  <c r="BI25" i="4"/>
  <c r="BH25" i="4"/>
  <c r="BG25" i="4"/>
  <c r="BF25" i="4"/>
  <c r="BE25" i="4"/>
  <c r="BD25" i="4"/>
  <c r="BC25" i="4"/>
  <c r="BV24" i="4"/>
  <c r="BU24" i="4"/>
  <c r="BT24" i="4"/>
  <c r="BS24" i="4"/>
  <c r="BR24" i="4"/>
  <c r="BQ24" i="4"/>
  <c r="BP24" i="4"/>
  <c r="BO24" i="4"/>
  <c r="BN24" i="4"/>
  <c r="BM24" i="4"/>
  <c r="BL24" i="4"/>
  <c r="BK24" i="4"/>
  <c r="BJ24" i="4"/>
  <c r="BI24" i="4"/>
  <c r="BH24" i="4"/>
  <c r="BG24" i="4"/>
  <c r="BF24" i="4"/>
  <c r="BE24" i="4"/>
  <c r="BD24" i="4"/>
  <c r="BC24" i="4"/>
  <c r="BV23" i="4"/>
  <c r="BU23" i="4"/>
  <c r="BT23" i="4"/>
  <c r="BS23" i="4"/>
  <c r="BR23" i="4"/>
  <c r="BQ23" i="4"/>
  <c r="BP23" i="4"/>
  <c r="BO23" i="4"/>
  <c r="BN23" i="4"/>
  <c r="BM23" i="4"/>
  <c r="BL23" i="4"/>
  <c r="BK23" i="4"/>
  <c r="BJ23" i="4"/>
  <c r="BI23" i="4"/>
  <c r="BH23" i="4"/>
  <c r="BG23" i="4"/>
  <c r="BF23" i="4"/>
  <c r="BE23" i="4"/>
  <c r="BD23" i="4"/>
  <c r="BC23" i="4"/>
  <c r="BV22" i="4"/>
  <c r="E98" i="8" s="1"/>
  <c r="BU22" i="4"/>
  <c r="E105" i="8" s="1"/>
  <c r="BT22" i="4"/>
  <c r="BS22" i="4"/>
  <c r="BR22" i="4"/>
  <c r="BQ22" i="4"/>
  <c r="BP22" i="4"/>
  <c r="BO22" i="4"/>
  <c r="BN22" i="4"/>
  <c r="BM22" i="4"/>
  <c r="BL22" i="4"/>
  <c r="BK22" i="4"/>
  <c r="E68" i="8" s="1"/>
  <c r="BJ22" i="4"/>
  <c r="E75" i="8" s="1"/>
  <c r="BI22" i="4"/>
  <c r="BH22" i="4"/>
  <c r="BG22" i="4"/>
  <c r="BF22" i="4"/>
  <c r="BE22" i="4"/>
  <c r="BD22" i="4"/>
  <c r="BC22" i="4"/>
  <c r="BV21" i="4"/>
  <c r="BU21" i="4"/>
  <c r="BT21" i="4"/>
  <c r="BS21" i="4"/>
  <c r="BR21" i="4"/>
  <c r="BQ21" i="4"/>
  <c r="BP21" i="4"/>
  <c r="BO21" i="4"/>
  <c r="BN21" i="4"/>
  <c r="BM21" i="4"/>
  <c r="BL21" i="4"/>
  <c r="BK21" i="4"/>
  <c r="L68" i="8" s="1"/>
  <c r="BJ21" i="4"/>
  <c r="E58" i="8" s="1"/>
  <c r="BI21" i="4"/>
  <c r="BH21" i="4"/>
  <c r="BG21" i="4"/>
  <c r="BF21" i="4"/>
  <c r="BE21" i="4"/>
  <c r="BD21" i="4"/>
  <c r="BC21" i="4"/>
  <c r="BV20" i="4"/>
  <c r="BU20" i="4"/>
  <c r="BT20" i="4"/>
  <c r="BS20" i="4"/>
  <c r="BR20" i="4"/>
  <c r="BQ20" i="4"/>
  <c r="BP20" i="4"/>
  <c r="BO20" i="4"/>
  <c r="BN20" i="4"/>
  <c r="BM20" i="4"/>
  <c r="BL20" i="4"/>
  <c r="BK20" i="4"/>
  <c r="BJ20" i="4"/>
  <c r="BI20" i="4"/>
  <c r="BH20" i="4"/>
  <c r="BG20" i="4"/>
  <c r="BF20" i="4"/>
  <c r="BE20" i="4"/>
  <c r="BD20" i="4"/>
  <c r="BC20" i="4"/>
  <c r="BV19" i="4"/>
  <c r="BU19" i="4"/>
  <c r="BT19" i="4"/>
  <c r="BS19" i="4"/>
  <c r="BR19" i="4"/>
  <c r="BQ19" i="4"/>
  <c r="BP19" i="4"/>
  <c r="BO19" i="4"/>
  <c r="BN19" i="4"/>
  <c r="BM19" i="4"/>
  <c r="BL19" i="4"/>
  <c r="BK19" i="4"/>
  <c r="BJ19" i="4"/>
  <c r="BI19" i="4"/>
  <c r="BH19" i="4"/>
  <c r="BG19" i="4"/>
  <c r="BF19" i="4"/>
  <c r="BE19" i="4"/>
  <c r="BD19" i="4"/>
  <c r="BC19" i="4"/>
  <c r="BV18" i="4"/>
  <c r="L97" i="8" s="1"/>
  <c r="BU18" i="4"/>
  <c r="L104" i="8" s="1"/>
  <c r="BT18" i="4"/>
  <c r="BS18" i="4"/>
  <c r="BR18" i="4"/>
  <c r="BQ18" i="4"/>
  <c r="BP18" i="4"/>
  <c r="BO18" i="4"/>
  <c r="BN18" i="4"/>
  <c r="BM18" i="4"/>
  <c r="BL18" i="4"/>
  <c r="BK18" i="4"/>
  <c r="L67" i="8" s="1"/>
  <c r="BJ18" i="4"/>
  <c r="BI18" i="4"/>
  <c r="BH18" i="4"/>
  <c r="BG18" i="4"/>
  <c r="BF18" i="4"/>
  <c r="BE18" i="4"/>
  <c r="BD18" i="4"/>
  <c r="BC18" i="4"/>
  <c r="BV17" i="4"/>
  <c r="BU17" i="4"/>
  <c r="BT17" i="4"/>
  <c r="BS17" i="4"/>
  <c r="BR17" i="4"/>
  <c r="BQ17" i="4"/>
  <c r="BP17" i="4"/>
  <c r="BO17" i="4"/>
  <c r="BN17" i="4"/>
  <c r="BM17" i="4"/>
  <c r="BL17" i="4"/>
  <c r="BK17" i="4"/>
  <c r="R69" i="8" s="1"/>
  <c r="BJ17" i="4"/>
  <c r="R76" i="8" s="1"/>
  <c r="BI17" i="4"/>
  <c r="BH17" i="4"/>
  <c r="BG17" i="4"/>
  <c r="BF17" i="4"/>
  <c r="BE17" i="4"/>
  <c r="BD17" i="4"/>
  <c r="BC17" i="4"/>
  <c r="BV16" i="4"/>
  <c r="BU16" i="4"/>
  <c r="BT16" i="4"/>
  <c r="BS16" i="4"/>
  <c r="BR16" i="4"/>
  <c r="BQ16" i="4"/>
  <c r="BP16" i="4"/>
  <c r="BO16" i="4"/>
  <c r="BN16" i="4"/>
  <c r="BM16" i="4"/>
  <c r="BL16" i="4"/>
  <c r="BK16" i="4"/>
  <c r="BJ16" i="4"/>
  <c r="BI16" i="4"/>
  <c r="BH16" i="4"/>
  <c r="BG16" i="4"/>
  <c r="BF16" i="4"/>
  <c r="BE16" i="4"/>
  <c r="BD16" i="4"/>
  <c r="BC16" i="4"/>
  <c r="BV15" i="4"/>
  <c r="BU15" i="4"/>
  <c r="BT15" i="4"/>
  <c r="BS15" i="4"/>
  <c r="BR15" i="4"/>
  <c r="BQ15" i="4"/>
  <c r="BP15" i="4"/>
  <c r="BO15" i="4"/>
  <c r="BN15" i="4"/>
  <c r="BM15" i="4"/>
  <c r="BL15" i="4"/>
  <c r="BK15" i="4"/>
  <c r="R68" i="8" s="1"/>
  <c r="BJ15" i="4"/>
  <c r="R75" i="8" s="1"/>
  <c r="BI15" i="4"/>
  <c r="BH15" i="4"/>
  <c r="BG15" i="4"/>
  <c r="BF15" i="4"/>
  <c r="BE15" i="4"/>
  <c r="BD15" i="4"/>
  <c r="BC15" i="4"/>
  <c r="BV14" i="4"/>
  <c r="BU14" i="4"/>
  <c r="BT14" i="4"/>
  <c r="BS14" i="4"/>
  <c r="BR14" i="4"/>
  <c r="BQ14" i="4"/>
  <c r="BP14" i="4"/>
  <c r="BO14" i="4"/>
  <c r="BN14" i="4"/>
  <c r="BM14" i="4"/>
  <c r="BL14" i="4"/>
  <c r="BK14" i="4"/>
  <c r="BJ14" i="4"/>
  <c r="BI14" i="4"/>
  <c r="BH14" i="4"/>
  <c r="BG14" i="4"/>
  <c r="BF14" i="4"/>
  <c r="BE14" i="4"/>
  <c r="BD14" i="4"/>
  <c r="BC14" i="4"/>
  <c r="BV13" i="4"/>
  <c r="J98" i="8" s="1"/>
  <c r="BU13" i="4"/>
  <c r="J105" i="8" s="1"/>
  <c r="BT13" i="4"/>
  <c r="BS13" i="4"/>
  <c r="BR13" i="4"/>
  <c r="BQ13" i="4"/>
  <c r="BP13" i="4"/>
  <c r="BO13" i="4"/>
  <c r="BN13" i="4"/>
  <c r="BM13" i="4"/>
  <c r="BL13" i="4"/>
  <c r="BK13" i="4"/>
  <c r="J68" i="8" s="1"/>
  <c r="BJ13" i="4"/>
  <c r="J75" i="8" s="1"/>
  <c r="BI13" i="4"/>
  <c r="BH13" i="4"/>
  <c r="BG13" i="4"/>
  <c r="BF13" i="4"/>
  <c r="BE13" i="4"/>
  <c r="BD13" i="4"/>
  <c r="BC13" i="4"/>
  <c r="BV12" i="4"/>
  <c r="BU12" i="4"/>
  <c r="BT12" i="4"/>
  <c r="BS12" i="4"/>
  <c r="BR12" i="4"/>
  <c r="BQ12" i="4"/>
  <c r="BP12" i="4"/>
  <c r="BO12" i="4"/>
  <c r="BN12" i="4"/>
  <c r="BM12" i="4"/>
  <c r="BL12" i="4"/>
  <c r="BK12" i="4"/>
  <c r="B68" i="8" s="1"/>
  <c r="BJ12" i="4"/>
  <c r="B60" i="8" s="1"/>
  <c r="BI12" i="4"/>
  <c r="BH12" i="4"/>
  <c r="BG12" i="4"/>
  <c r="BF12" i="4"/>
  <c r="BE12" i="4"/>
  <c r="BD12" i="4"/>
  <c r="BC12" i="4"/>
  <c r="BV11" i="4"/>
  <c r="BU11" i="4"/>
  <c r="BT11" i="4"/>
  <c r="BS11" i="4"/>
  <c r="BR11" i="4"/>
  <c r="BQ11" i="4"/>
  <c r="BP11" i="4"/>
  <c r="BO11" i="4"/>
  <c r="BN11" i="4"/>
  <c r="BM11" i="4"/>
  <c r="BL11" i="4"/>
  <c r="BK11" i="4"/>
  <c r="P68" i="8" s="1"/>
  <c r="BJ11" i="4"/>
  <c r="P75" i="8" s="1"/>
  <c r="BI11" i="4"/>
  <c r="BH11" i="4"/>
  <c r="BG11" i="4"/>
  <c r="BF11" i="4"/>
  <c r="BE11" i="4"/>
  <c r="BD11" i="4"/>
  <c r="BC11" i="4"/>
  <c r="BV10" i="4"/>
  <c r="D98" i="8" s="1"/>
  <c r="BU10" i="4"/>
  <c r="D105" i="8" s="1"/>
  <c r="BT10" i="4"/>
  <c r="BS10" i="4"/>
  <c r="BR10" i="4"/>
  <c r="BQ10" i="4"/>
  <c r="BP10" i="4"/>
  <c r="BO10" i="4"/>
  <c r="BN10" i="4"/>
  <c r="BM10" i="4"/>
  <c r="BL10" i="4"/>
  <c r="BK10" i="4"/>
  <c r="D68" i="8" s="1"/>
  <c r="BJ10" i="4"/>
  <c r="D75" i="8" s="1"/>
  <c r="BI10" i="4"/>
  <c r="BH10" i="4"/>
  <c r="BG10" i="4"/>
  <c r="BF10" i="4"/>
  <c r="BE10" i="4"/>
  <c r="BD10" i="4"/>
  <c r="BC10" i="4"/>
  <c r="BV9" i="4"/>
  <c r="BU9" i="4"/>
  <c r="BT9" i="4"/>
  <c r="BS9" i="4"/>
  <c r="BR9" i="4"/>
  <c r="BQ9" i="4"/>
  <c r="BP9" i="4"/>
  <c r="BO9" i="4"/>
  <c r="BN9" i="4"/>
  <c r="BM9" i="4"/>
  <c r="BL9" i="4"/>
  <c r="BK9" i="4"/>
  <c r="C69" i="8" s="1"/>
  <c r="BJ9" i="4"/>
  <c r="BI9" i="4"/>
  <c r="BH9" i="4"/>
  <c r="BG9" i="4"/>
  <c r="BF9" i="4"/>
  <c r="BE9" i="4"/>
  <c r="BD9" i="4"/>
  <c r="BC9" i="4"/>
  <c r="BV8" i="4"/>
  <c r="BU8" i="4"/>
  <c r="BT8" i="4"/>
  <c r="BS8" i="4"/>
  <c r="BR8" i="4"/>
  <c r="BQ8" i="4"/>
  <c r="BP8" i="4"/>
  <c r="BO8" i="4"/>
  <c r="BN8" i="4"/>
  <c r="BM8" i="4"/>
  <c r="BL8" i="4"/>
  <c r="BK8" i="4"/>
  <c r="P66" i="8" s="1"/>
  <c r="BJ8" i="4"/>
  <c r="P73" i="8" s="1"/>
  <c r="BI8" i="4"/>
  <c r="BH8" i="4"/>
  <c r="BG8" i="4"/>
  <c r="BF8" i="4"/>
  <c r="BE8" i="4"/>
  <c r="BD8" i="4"/>
  <c r="BC8" i="4"/>
  <c r="BV7" i="4"/>
  <c r="BU7" i="4"/>
  <c r="BT7" i="4"/>
  <c r="BS7" i="4"/>
  <c r="BR7" i="4"/>
  <c r="BQ7" i="4"/>
  <c r="BP7" i="4"/>
  <c r="BO7" i="4"/>
  <c r="BN7" i="4"/>
  <c r="BM7" i="4"/>
  <c r="BL7" i="4"/>
  <c r="BK7" i="4"/>
  <c r="P69" i="8" s="1"/>
  <c r="BJ7" i="4"/>
  <c r="P76" i="8" s="1"/>
  <c r="BI7" i="4"/>
  <c r="BH7" i="4"/>
  <c r="BG7" i="4"/>
  <c r="BF7" i="4"/>
  <c r="BE7" i="4"/>
  <c r="BD7" i="4"/>
  <c r="BC7" i="4"/>
  <c r="BV6" i="4"/>
  <c r="BU6" i="4"/>
  <c r="BT6" i="4"/>
  <c r="BS6" i="4"/>
  <c r="BR6" i="4"/>
  <c r="BQ6" i="4"/>
  <c r="BP6" i="4"/>
  <c r="BO6" i="4"/>
  <c r="BN6" i="4"/>
  <c r="BM6" i="4"/>
  <c r="BL6" i="4"/>
  <c r="BK6" i="4"/>
  <c r="B65" i="8" s="1"/>
  <c r="BJ6" i="4"/>
  <c r="B72" i="8" s="1"/>
  <c r="BI6" i="4"/>
  <c r="BH6" i="4"/>
  <c r="BG6" i="4"/>
  <c r="BF6" i="4"/>
  <c r="BE6" i="4"/>
  <c r="BD6" i="4"/>
  <c r="BC6" i="4"/>
  <c r="BV5" i="4"/>
  <c r="G84" i="8" s="1"/>
  <c r="BU5" i="4"/>
  <c r="G91" i="8" s="1"/>
  <c r="BT5" i="4"/>
  <c r="BS5" i="4"/>
  <c r="BR5" i="4"/>
  <c r="BQ5" i="4"/>
  <c r="BP5" i="4"/>
  <c r="BO5" i="4"/>
  <c r="BN5" i="4"/>
  <c r="BM5" i="4"/>
  <c r="BL5" i="4"/>
  <c r="BK5" i="4"/>
  <c r="O69" i="8" s="1"/>
  <c r="BJ5" i="4"/>
  <c r="O76" i="8" s="1"/>
  <c r="BI5" i="4"/>
  <c r="BH5" i="4"/>
  <c r="BG5" i="4"/>
  <c r="BF5" i="4"/>
  <c r="BE5" i="4"/>
  <c r="BD5" i="4"/>
  <c r="BC5" i="4"/>
  <c r="BV4" i="4"/>
  <c r="F98" i="8" s="1"/>
  <c r="BU4" i="4"/>
  <c r="F105" i="8" s="1"/>
  <c r="BT4" i="4"/>
  <c r="BS4" i="4"/>
  <c r="BR4" i="4"/>
  <c r="BQ4" i="4"/>
  <c r="BP4" i="4"/>
  <c r="BO4" i="4"/>
  <c r="BN4" i="4"/>
  <c r="BM4" i="4"/>
  <c r="BL4" i="4"/>
  <c r="BK4" i="4"/>
  <c r="C53" i="8" s="1"/>
  <c r="BJ4" i="4"/>
  <c r="F75" i="8" s="1"/>
  <c r="BI4" i="4"/>
  <c r="BH4" i="4"/>
  <c r="BG4" i="4"/>
  <c r="BF4" i="4"/>
  <c r="BE4" i="4"/>
  <c r="BD4" i="4"/>
  <c r="BC4" i="4"/>
  <c r="BV3" i="4"/>
  <c r="R44" i="27" s="1"/>
  <c r="BU3" i="4"/>
  <c r="I19" i="8" s="1"/>
  <c r="BT3" i="4"/>
  <c r="L13" i="11" s="1"/>
  <c r="BS3" i="4"/>
  <c r="BR3" i="4"/>
  <c r="G14" i="11" s="1"/>
  <c r="BQ3" i="4"/>
  <c r="BP3" i="4"/>
  <c r="J15" i="11" s="1"/>
  <c r="BO3" i="4"/>
  <c r="BN3" i="4"/>
  <c r="BM3" i="4"/>
  <c r="BL3" i="4"/>
  <c r="BK3" i="4"/>
  <c r="O68" i="8" s="1"/>
  <c r="BJ3" i="4"/>
  <c r="BI3" i="4"/>
  <c r="N4" i="11" s="1"/>
  <c r="BH3" i="4"/>
  <c r="BG3" i="4"/>
  <c r="BF3" i="4"/>
  <c r="BE3" i="4"/>
  <c r="H6" i="11" s="1"/>
  <c r="BD3" i="4"/>
  <c r="BC3" i="4"/>
  <c r="BV170" i="4"/>
  <c r="BU170" i="4"/>
  <c r="BT170" i="4"/>
  <c r="BS170" i="4"/>
  <c r="BR170" i="4"/>
  <c r="BQ170" i="4"/>
  <c r="BP170" i="4"/>
  <c r="BO170" i="4"/>
  <c r="BN170" i="4"/>
  <c r="BM170" i="4"/>
  <c r="Q106" i="8"/>
  <c r="P106" i="8"/>
  <c r="O106" i="8"/>
  <c r="Y7" i="24"/>
  <c r="X7" i="24"/>
  <c r="W7" i="24"/>
  <c r="V7" i="24"/>
  <c r="Z7" i="24" s="1"/>
  <c r="Y6" i="23"/>
  <c r="X6" i="23"/>
  <c r="W6" i="23"/>
  <c r="V6" i="23"/>
  <c r="U6" i="23"/>
  <c r="T6" i="23"/>
  <c r="S6" i="23"/>
  <c r="R6" i="23"/>
  <c r="Q6" i="23"/>
  <c r="Y15" i="22"/>
  <c r="X15" i="22"/>
  <c r="W15" i="22"/>
  <c r="V15" i="22"/>
  <c r="Y19" i="25"/>
  <c r="Z19" i="25" s="1"/>
  <c r="X19" i="25"/>
  <c r="W19" i="25"/>
  <c r="V19" i="25"/>
  <c r="K33" i="15"/>
  <c r="J33" i="15"/>
  <c r="I33" i="15"/>
  <c r="H33" i="15"/>
  <c r="G33" i="15"/>
  <c r="F33" i="15"/>
  <c r="E33" i="15"/>
  <c r="D33" i="15"/>
  <c r="C33" i="15"/>
  <c r="B33" i="15"/>
  <c r="O26" i="11" l="1"/>
  <c r="O25" i="11"/>
  <c r="O27" i="11"/>
  <c r="O23" i="11"/>
  <c r="O24" i="11"/>
  <c r="P26" i="11"/>
  <c r="P27" i="11"/>
  <c r="P23" i="11"/>
  <c r="P24" i="11"/>
  <c r="P25" i="11"/>
  <c r="Z3" i="22"/>
  <c r="Z4" i="22"/>
  <c r="Z5" i="22"/>
  <c r="Z6" i="22"/>
  <c r="Z7" i="22"/>
  <c r="Z8" i="22"/>
  <c r="Z9" i="22"/>
  <c r="Z10" i="22"/>
  <c r="Z11" i="22"/>
  <c r="Z12" i="22"/>
  <c r="Z13" i="22"/>
  <c r="Z14" i="22"/>
  <c r="B20" i="8"/>
  <c r="C20" i="8"/>
  <c r="B9" i="8"/>
  <c r="B18" i="11"/>
  <c r="Z6" i="23"/>
  <c r="Z4" i="23"/>
  <c r="Z5" i="23"/>
  <c r="Z15" i="22"/>
  <c r="C9" i="8"/>
  <c r="Z3" i="23"/>
  <c r="S40" i="27"/>
  <c r="K40" i="27"/>
  <c r="C40" i="27"/>
  <c r="R40" i="27"/>
  <c r="J40" i="27"/>
  <c r="Q40" i="27"/>
  <c r="I40" i="27"/>
  <c r="P40" i="27"/>
  <c r="H40" i="27"/>
  <c r="O40" i="27"/>
  <c r="G40" i="27"/>
  <c r="E17" i="27"/>
  <c r="E16" i="27"/>
  <c r="E15" i="27"/>
  <c r="N40" i="27"/>
  <c r="F40" i="27"/>
  <c r="O75" i="8"/>
  <c r="M40" i="27"/>
  <c r="E40" i="27"/>
  <c r="B95" i="8"/>
  <c r="B80" i="8"/>
  <c r="P96" i="8"/>
  <c r="H81" i="8"/>
  <c r="C76" i="8"/>
  <c r="C75" i="8"/>
  <c r="C74" i="8"/>
  <c r="N76" i="8"/>
  <c r="N75" i="8"/>
  <c r="H17" i="8"/>
  <c r="H18" i="8"/>
  <c r="H19" i="8"/>
  <c r="G52" i="8"/>
  <c r="G53" i="8"/>
  <c r="G54" i="8"/>
  <c r="G59" i="8"/>
  <c r="G60" i="8"/>
  <c r="G61" i="8"/>
  <c r="M67" i="8"/>
  <c r="I69" i="8"/>
  <c r="C84" i="8"/>
  <c r="Z6" i="24"/>
  <c r="C25" i="27"/>
  <c r="R7" i="11"/>
  <c r="H7" i="11"/>
  <c r="Q7" i="11"/>
  <c r="G7" i="11"/>
  <c r="N7" i="11"/>
  <c r="F7" i="11"/>
  <c r="M7" i="11"/>
  <c r="E7" i="11"/>
  <c r="L7" i="11"/>
  <c r="D7" i="11"/>
  <c r="K7" i="11"/>
  <c r="C7" i="11"/>
  <c r="J7" i="11"/>
  <c r="M39" i="27"/>
  <c r="E39" i="27"/>
  <c r="L39" i="27"/>
  <c r="T39" i="27" s="1"/>
  <c r="D39" i="27"/>
  <c r="S39" i="27"/>
  <c r="K39" i="27"/>
  <c r="C39" i="27"/>
  <c r="R39" i="27"/>
  <c r="J39" i="27"/>
  <c r="Q39" i="27"/>
  <c r="I39" i="27"/>
  <c r="P39" i="27"/>
  <c r="H39" i="27"/>
  <c r="D17" i="27"/>
  <c r="D16" i="27"/>
  <c r="D15" i="27"/>
  <c r="O39" i="27"/>
  <c r="G39" i="27"/>
  <c r="N106" i="8"/>
  <c r="G17" i="11"/>
  <c r="N17" i="11"/>
  <c r="F17" i="11"/>
  <c r="M17" i="11"/>
  <c r="E17" i="11"/>
  <c r="L17" i="11"/>
  <c r="D17" i="11"/>
  <c r="C34" i="27"/>
  <c r="K17" i="11"/>
  <c r="C17" i="11"/>
  <c r="J17" i="11"/>
  <c r="I17" i="11"/>
  <c r="K13" i="11"/>
  <c r="C13" i="11"/>
  <c r="J13" i="11"/>
  <c r="I13" i="11"/>
  <c r="H13" i="11"/>
  <c r="C30" i="27"/>
  <c r="G13" i="11"/>
  <c r="N13" i="11"/>
  <c r="F13" i="11"/>
  <c r="M13" i="11"/>
  <c r="E13" i="11"/>
  <c r="I17" i="8"/>
  <c r="I18" i="8"/>
  <c r="H51" i="8"/>
  <c r="H53" i="8"/>
  <c r="H54" i="8"/>
  <c r="H58" i="8"/>
  <c r="H60" i="8"/>
  <c r="H61" i="8"/>
  <c r="F68" i="8"/>
  <c r="H17" i="11"/>
  <c r="F39" i="27"/>
  <c r="J44" i="27"/>
  <c r="Q6" i="11"/>
  <c r="G6" i="11"/>
  <c r="N6" i="11"/>
  <c r="F6" i="11"/>
  <c r="C24" i="27"/>
  <c r="M6" i="11"/>
  <c r="E6" i="11"/>
  <c r="L6" i="11"/>
  <c r="D6" i="11"/>
  <c r="K6" i="11"/>
  <c r="C6" i="11"/>
  <c r="J6" i="11"/>
  <c r="I6" i="11"/>
  <c r="N45" i="27"/>
  <c r="F45" i="27"/>
  <c r="I17" i="27"/>
  <c r="I16" i="27"/>
  <c r="I15" i="27"/>
  <c r="M45" i="27"/>
  <c r="E45" i="27"/>
  <c r="L45" i="27"/>
  <c r="D45" i="27"/>
  <c r="S45" i="27"/>
  <c r="K45" i="27"/>
  <c r="C45" i="27"/>
  <c r="O105" i="8"/>
  <c r="G90" i="8"/>
  <c r="R45" i="27"/>
  <c r="J45" i="27"/>
  <c r="Q45" i="27"/>
  <c r="I45" i="27"/>
  <c r="P45" i="27"/>
  <c r="H45" i="27"/>
  <c r="H91" i="8"/>
  <c r="C104" i="8"/>
  <c r="E91" i="8"/>
  <c r="E90" i="8"/>
  <c r="E89" i="8"/>
  <c r="C106" i="8"/>
  <c r="P105" i="8"/>
  <c r="H90" i="8"/>
  <c r="R105" i="8"/>
  <c r="I90" i="8"/>
  <c r="I91" i="8"/>
  <c r="L103" i="8"/>
  <c r="E88" i="8"/>
  <c r="L105" i="8"/>
  <c r="B91" i="8"/>
  <c r="K102" i="8"/>
  <c r="F91" i="8"/>
  <c r="F87" i="8"/>
  <c r="K106" i="8"/>
  <c r="G105" i="8"/>
  <c r="H106" i="8"/>
  <c r="D91" i="8"/>
  <c r="R104" i="8"/>
  <c r="I89" i="8"/>
  <c r="I87" i="8"/>
  <c r="R102" i="8"/>
  <c r="I88" i="8"/>
  <c r="R103" i="8"/>
  <c r="I50" i="8"/>
  <c r="I51" i="8"/>
  <c r="I52" i="8"/>
  <c r="I53" i="8"/>
  <c r="I54" i="8"/>
  <c r="I57" i="8"/>
  <c r="I58" i="8"/>
  <c r="I59" i="8"/>
  <c r="I60" i="8"/>
  <c r="I61" i="8"/>
  <c r="R96" i="8"/>
  <c r="B9" i="11"/>
  <c r="R6" i="11"/>
  <c r="N39" i="27"/>
  <c r="L74" i="8"/>
  <c r="L98" i="8"/>
  <c r="L96" i="8"/>
  <c r="E81" i="8"/>
  <c r="B84" i="8"/>
  <c r="B99" i="8"/>
  <c r="N99" i="8"/>
  <c r="N98" i="8"/>
  <c r="K99" i="8"/>
  <c r="F84" i="8"/>
  <c r="F80" i="8"/>
  <c r="H99" i="8"/>
  <c r="D84" i="8"/>
  <c r="I82" i="8"/>
  <c r="R97" i="8"/>
  <c r="I76" i="8"/>
  <c r="I75" i="8"/>
  <c r="R95" i="8"/>
  <c r="I80" i="8"/>
  <c r="K74" i="8"/>
  <c r="K73" i="8"/>
  <c r="H75" i="8"/>
  <c r="M97" i="8"/>
  <c r="M96" i="8"/>
  <c r="B50" i="8"/>
  <c r="B53" i="8"/>
  <c r="B54" i="8"/>
  <c r="B57" i="8"/>
  <c r="B61" i="8"/>
  <c r="H68" i="8"/>
  <c r="N69" i="8"/>
  <c r="F4" i="11"/>
  <c r="L16" i="11"/>
  <c r="D16" i="11"/>
  <c r="K16" i="11"/>
  <c r="C16" i="11"/>
  <c r="J16" i="11"/>
  <c r="I16" i="11"/>
  <c r="H16" i="11"/>
  <c r="G16" i="11"/>
  <c r="C33" i="27"/>
  <c r="N16" i="11"/>
  <c r="F16" i="11"/>
  <c r="Q44" i="27"/>
  <c r="I44" i="27"/>
  <c r="O98" i="8"/>
  <c r="P44" i="27"/>
  <c r="H44" i="27"/>
  <c r="H17" i="27"/>
  <c r="H16" i="27"/>
  <c r="H15" i="27"/>
  <c r="O44" i="27"/>
  <c r="G44" i="27"/>
  <c r="N44" i="27"/>
  <c r="F44" i="27"/>
  <c r="G83" i="8"/>
  <c r="M44" i="27"/>
  <c r="E44" i="27"/>
  <c r="L44" i="27"/>
  <c r="D44" i="27"/>
  <c r="S44" i="27"/>
  <c r="K44" i="27"/>
  <c r="C44" i="27"/>
  <c r="H84" i="8"/>
  <c r="P99" i="8"/>
  <c r="C99" i="8"/>
  <c r="C98" i="8"/>
  <c r="C97" i="8"/>
  <c r="E84" i="8"/>
  <c r="E83" i="8"/>
  <c r="E82" i="8"/>
  <c r="B75" i="8"/>
  <c r="D17" i="8"/>
  <c r="D18" i="8"/>
  <c r="D19" i="8"/>
  <c r="C54" i="8"/>
  <c r="C60" i="8"/>
  <c r="C61" i="8"/>
  <c r="K65" i="8"/>
  <c r="O99" i="8"/>
  <c r="M103" i="8"/>
  <c r="C105" i="8"/>
  <c r="I7" i="11"/>
  <c r="M4" i="11"/>
  <c r="E4" i="11"/>
  <c r="L4" i="11"/>
  <c r="D4" i="11"/>
  <c r="K4" i="11"/>
  <c r="C4" i="11"/>
  <c r="J4" i="11"/>
  <c r="I4" i="11"/>
  <c r="R4" i="11"/>
  <c r="H4" i="11"/>
  <c r="C22" i="27"/>
  <c r="Q4" i="11"/>
  <c r="G4" i="11"/>
  <c r="N14" i="11"/>
  <c r="F14" i="11"/>
  <c r="M14" i="11"/>
  <c r="E14" i="11"/>
  <c r="C31" i="27"/>
  <c r="L14" i="11"/>
  <c r="D14" i="11"/>
  <c r="K14" i="11"/>
  <c r="C14" i="11"/>
  <c r="J14" i="11"/>
  <c r="I14" i="11"/>
  <c r="H14" i="11"/>
  <c r="H83" i="8"/>
  <c r="I83" i="8"/>
  <c r="R98" i="8"/>
  <c r="I84" i="8"/>
  <c r="R99" i="8"/>
  <c r="N5" i="11"/>
  <c r="F5" i="11"/>
  <c r="M5" i="11"/>
  <c r="E5" i="11"/>
  <c r="L5" i="11"/>
  <c r="D5" i="11"/>
  <c r="K5" i="11"/>
  <c r="C5" i="11"/>
  <c r="C23" i="27"/>
  <c r="J5" i="11"/>
  <c r="I5" i="11"/>
  <c r="R5" i="11"/>
  <c r="H5" i="11"/>
  <c r="R106" i="8"/>
  <c r="C32" i="27"/>
  <c r="I15" i="11"/>
  <c r="H15" i="11"/>
  <c r="G15" i="11"/>
  <c r="N15" i="11"/>
  <c r="F15" i="11"/>
  <c r="M15" i="11"/>
  <c r="E15" i="11"/>
  <c r="L15" i="11"/>
  <c r="D15" i="11"/>
  <c r="K15" i="11"/>
  <c r="C15" i="11"/>
  <c r="E17" i="8"/>
  <c r="E18" i="8"/>
  <c r="E19" i="8"/>
  <c r="D54" i="8"/>
  <c r="D60" i="8"/>
  <c r="D61" i="8"/>
  <c r="K66" i="8"/>
  <c r="K68" i="8"/>
  <c r="K105" i="8"/>
  <c r="D40" i="27"/>
  <c r="G45" i="27"/>
  <c r="B87" i="8"/>
  <c r="B102" i="8"/>
  <c r="H88" i="8"/>
  <c r="P103" i="8"/>
  <c r="B105" i="8"/>
  <c r="B90" i="8"/>
  <c r="I106" i="8"/>
  <c r="I105" i="8"/>
  <c r="K104" i="8"/>
  <c r="K103" i="8"/>
  <c r="F89" i="8"/>
  <c r="F88" i="8"/>
  <c r="H105" i="8"/>
  <c r="D90" i="8"/>
  <c r="G89" i="8"/>
  <c r="O104" i="8"/>
  <c r="E51" i="8"/>
  <c r="E52" i="8"/>
  <c r="E53" i="8"/>
  <c r="E54" i="8"/>
  <c r="E59" i="8"/>
  <c r="E60" i="8"/>
  <c r="E61" i="8"/>
  <c r="L66" i="8"/>
  <c r="C67" i="8"/>
  <c r="K67" i="8"/>
  <c r="C90" i="8"/>
  <c r="H98" i="8"/>
  <c r="G5" i="11"/>
  <c r="E16" i="11"/>
  <c r="L40" i="27"/>
  <c r="T40" i="27" s="1"/>
  <c r="O45" i="27"/>
  <c r="B83" i="8"/>
  <c r="B98" i="8"/>
  <c r="L75" i="8"/>
  <c r="L73" i="8"/>
  <c r="K76" i="8"/>
  <c r="K72" i="8"/>
  <c r="I99" i="8"/>
  <c r="I98" i="8"/>
  <c r="K98" i="8"/>
  <c r="F83" i="8"/>
  <c r="F82" i="8"/>
  <c r="F81" i="8"/>
  <c r="K97" i="8"/>
  <c r="K96" i="8"/>
  <c r="M74" i="8"/>
  <c r="M73" i="8"/>
  <c r="O97" i="8"/>
  <c r="G82" i="8"/>
  <c r="F50" i="8"/>
  <c r="F51" i="8"/>
  <c r="F54" i="8"/>
  <c r="F57" i="8"/>
  <c r="F58" i="8"/>
  <c r="F59" i="8"/>
  <c r="F60" i="8"/>
  <c r="F61" i="8"/>
  <c r="C68" i="8"/>
  <c r="C83" i="8"/>
  <c r="C91" i="8"/>
  <c r="P98" i="8"/>
  <c r="B106" i="8"/>
  <c r="Q5" i="11"/>
  <c r="D13" i="11"/>
  <c r="M16" i="11"/>
  <c r="E34" i="11" l="1"/>
  <c r="Q9" i="11"/>
  <c r="D9" i="11"/>
  <c r="I20" i="8"/>
  <c r="I30" i="8" s="1"/>
  <c r="I18" i="11"/>
  <c r="I34" i="11" s="1"/>
  <c r="L9" i="11"/>
  <c r="D20" i="8"/>
  <c r="D29" i="8" s="1"/>
  <c r="E31" i="11"/>
  <c r="E18" i="11"/>
  <c r="E33" i="11" s="1"/>
  <c r="J18" i="11"/>
  <c r="J33" i="11" s="1"/>
  <c r="H9" i="11"/>
  <c r="E9" i="11"/>
  <c r="M18" i="11"/>
  <c r="M33" i="11" s="1"/>
  <c r="C31" i="11"/>
  <c r="C18" i="11"/>
  <c r="H20" i="8"/>
  <c r="H28" i="8" s="1"/>
  <c r="L18" i="11"/>
  <c r="L31" i="11" s="1"/>
  <c r="D18" i="11"/>
  <c r="D33" i="11" s="1"/>
  <c r="E20" i="8"/>
  <c r="E26" i="8" s="1"/>
  <c r="E32" i="11"/>
  <c r="R9" i="11"/>
  <c r="M9" i="11"/>
  <c r="Y44" i="27"/>
  <c r="X44" i="27"/>
  <c r="W44" i="27"/>
  <c r="V44" i="27"/>
  <c r="U44" i="27"/>
  <c r="AA44" i="27"/>
  <c r="Z44" i="27"/>
  <c r="T45" i="27"/>
  <c r="F18" i="11"/>
  <c r="F34" i="11" s="1"/>
  <c r="K18" i="11"/>
  <c r="K35" i="11" s="1"/>
  <c r="C33" i="11"/>
  <c r="I32" i="11"/>
  <c r="I9" i="11"/>
  <c r="N18" i="11"/>
  <c r="N33" i="11" s="1"/>
  <c r="I35" i="11"/>
  <c r="M35" i="11"/>
  <c r="J9" i="11"/>
  <c r="F9" i="11"/>
  <c r="G18" i="11"/>
  <c r="G32" i="11" s="1"/>
  <c r="U39" i="27"/>
  <c r="AA39" i="27"/>
  <c r="Z39" i="27"/>
  <c r="Y39" i="27"/>
  <c r="X39" i="27"/>
  <c r="W39" i="27"/>
  <c r="V39" i="27"/>
  <c r="AA40" i="27"/>
  <c r="Z40" i="27"/>
  <c r="Y40" i="27"/>
  <c r="X40" i="27"/>
  <c r="W40" i="27"/>
  <c r="V40" i="27"/>
  <c r="U40" i="27"/>
  <c r="N9" i="11"/>
  <c r="I33" i="11"/>
  <c r="C32" i="11"/>
  <c r="C9" i="11"/>
  <c r="C35" i="11"/>
  <c r="K32" i="11"/>
  <c r="G9" i="11"/>
  <c r="K9" i="11"/>
  <c r="T44" i="27"/>
  <c r="AB44" i="27" s="1"/>
  <c r="C34" i="11"/>
  <c r="Y45" i="27"/>
  <c r="X45" i="27"/>
  <c r="W45" i="27"/>
  <c r="Z45" i="27"/>
  <c r="V45" i="27"/>
  <c r="U45" i="27"/>
  <c r="AB45" i="27"/>
  <c r="AA45" i="27"/>
  <c r="H18" i="11"/>
  <c r="H31" i="11" s="1"/>
  <c r="L34" i="11" l="1"/>
  <c r="F32" i="11"/>
  <c r="I31" i="11"/>
  <c r="F35" i="11"/>
  <c r="J32" i="11"/>
  <c r="M34" i="11"/>
  <c r="J35" i="11"/>
  <c r="F31" i="11"/>
  <c r="E35" i="11"/>
  <c r="G35" i="11"/>
  <c r="K34" i="11"/>
  <c r="G34" i="11"/>
  <c r="L33" i="11"/>
  <c r="K31" i="11"/>
  <c r="M32" i="11"/>
  <c r="M31" i="11"/>
  <c r="G31" i="11"/>
  <c r="G33" i="11"/>
  <c r="L32" i="11"/>
  <c r="E29" i="8"/>
  <c r="E30" i="8"/>
  <c r="D26" i="8"/>
  <c r="H29" i="8"/>
  <c r="H30" i="8"/>
  <c r="D30" i="8"/>
  <c r="H26" i="8"/>
  <c r="E27" i="8"/>
  <c r="D27" i="8"/>
  <c r="D28" i="8"/>
  <c r="H27" i="8"/>
  <c r="E28" i="8"/>
  <c r="I27" i="8"/>
  <c r="L35" i="11"/>
  <c r="D34" i="11"/>
  <c r="N35" i="11"/>
  <c r="N31" i="11"/>
  <c r="N34" i="11"/>
  <c r="I26" i="8"/>
  <c r="H33" i="11"/>
  <c r="D35" i="11"/>
  <c r="I28" i="8"/>
  <c r="N32" i="11"/>
  <c r="K33" i="11"/>
  <c r="H34" i="11"/>
  <c r="H35" i="11"/>
  <c r="D31" i="11"/>
  <c r="J31" i="11"/>
  <c r="D32" i="11"/>
  <c r="H32" i="11"/>
  <c r="I29" i="8"/>
  <c r="F33" i="11"/>
  <c r="J34" i="11"/>
</calcChain>
</file>

<file path=xl/sharedStrings.xml><?xml version="1.0" encoding="utf-8"?>
<sst xmlns="http://schemas.openxmlformats.org/spreadsheetml/2006/main" count="2463" uniqueCount="551">
  <si>
    <t>580-571</t>
  </si>
  <si>
    <t>570-561</t>
  </si>
  <si>
    <t>560-551</t>
  </si>
  <si>
    <t>Organic template</t>
  </si>
  <si>
    <t>Soft body</t>
  </si>
  <si>
    <t>Albumares</t>
  </si>
  <si>
    <t>Triradialomorpha</t>
  </si>
  <si>
    <t>Y</t>
  </si>
  <si>
    <t>Andiva</t>
  </si>
  <si>
    <t>Dickinsoniomorpha</t>
  </si>
  <si>
    <t>Anfesta</t>
  </si>
  <si>
    <t>Anhuiphyton</t>
  </si>
  <si>
    <t>Algal</t>
  </si>
  <si>
    <t>Annulatubus</t>
  </si>
  <si>
    <t>Tubular</t>
  </si>
  <si>
    <t>Arborea</t>
  </si>
  <si>
    <t>Arboreomorpha</t>
  </si>
  <si>
    <t>Archaeaspinus</t>
  </si>
  <si>
    <t>Bilateralomorpha</t>
  </si>
  <si>
    <t>Archaeichnium</t>
  </si>
  <si>
    <t>Archyfasma</t>
  </si>
  <si>
    <t>Arkarua</t>
  </si>
  <si>
    <t>Pentaradialomorpha</t>
  </si>
  <si>
    <t>Armillifera</t>
  </si>
  <si>
    <t>Cnidarian</t>
  </si>
  <si>
    <t>Attenborites</t>
  </si>
  <si>
    <t>Aulozoon</t>
  </si>
  <si>
    <t>Ausia</t>
  </si>
  <si>
    <t>Sponges</t>
  </si>
  <si>
    <t>Avalofractus</t>
  </si>
  <si>
    <t>Rangeomorpha</t>
  </si>
  <si>
    <t>Baculiphyca</t>
  </si>
  <si>
    <t>Beltanelliformis</t>
  </si>
  <si>
    <t>Beothukis</t>
  </si>
  <si>
    <t>Bjarmia</t>
  </si>
  <si>
    <t>Bomakellia</t>
  </si>
  <si>
    <t>Brachina</t>
  </si>
  <si>
    <t>Bradgatia</t>
  </si>
  <si>
    <t>Broccoliforma</t>
  </si>
  <si>
    <t>Burykhia</t>
  </si>
  <si>
    <t>Calyptrina</t>
  </si>
  <si>
    <t>Cambrotubulus</t>
  </si>
  <si>
    <t>Cephalonega</t>
  </si>
  <si>
    <t>Charnia</t>
  </si>
  <si>
    <t>Chinggiskhaania</t>
  </si>
  <si>
    <t>Chondroplon</t>
  </si>
  <si>
    <t>Miscellaneous</t>
  </si>
  <si>
    <t>Cloudina</t>
  </si>
  <si>
    <t>Conomedusites</t>
  </si>
  <si>
    <t>Tetraradialomorpha</t>
  </si>
  <si>
    <t>Conotubus</t>
  </si>
  <si>
    <t xml:space="preserve">Coronacollina </t>
  </si>
  <si>
    <t>Corumbella</t>
  </si>
  <si>
    <t>Curviacus</t>
  </si>
  <si>
    <t>Protist</t>
  </si>
  <si>
    <t>Cyanorus</t>
  </si>
  <si>
    <t>Dickinsonia</t>
  </si>
  <si>
    <t>Doushantuophyton</t>
  </si>
  <si>
    <t>Elainabella</t>
  </si>
  <si>
    <t>Enteromorphites</t>
  </si>
  <si>
    <t>Eoandromeda</t>
  </si>
  <si>
    <t>Ernietta</t>
  </si>
  <si>
    <t>Erniettomorpha</t>
  </si>
  <si>
    <t>Fedomia</t>
  </si>
  <si>
    <t>Flabellophyton</t>
  </si>
  <si>
    <t>Fractofusus</t>
  </si>
  <si>
    <t>Frondophyllas</t>
  </si>
  <si>
    <t xml:space="preserve">Funisia </t>
  </si>
  <si>
    <t>Gaojiashania</t>
  </si>
  <si>
    <t>Gehlingia</t>
  </si>
  <si>
    <t>Gibbavasis</t>
  </si>
  <si>
    <t>Hadrynichorde</t>
  </si>
  <si>
    <t>Hadryniscala</t>
  </si>
  <si>
    <t>Hallidaya</t>
  </si>
  <si>
    <t>Haootia</t>
  </si>
  <si>
    <t>Hapsidophyllas</t>
  </si>
  <si>
    <t>Huangshanophyton</t>
  </si>
  <si>
    <t>Hylaecullulus</t>
  </si>
  <si>
    <t>Ivovicia</t>
  </si>
  <si>
    <t>Keretsa</t>
  </si>
  <si>
    <t>Kharakhtia</t>
  </si>
  <si>
    <t xml:space="preserve">Khatyspytia </t>
  </si>
  <si>
    <t>Kimberella</t>
  </si>
  <si>
    <t>Kimberellamorpha</t>
  </si>
  <si>
    <t>Konglingiphyton</t>
  </si>
  <si>
    <t xml:space="preserve">Kuckaraukia </t>
  </si>
  <si>
    <t>Lantianella</t>
  </si>
  <si>
    <t>Lomosovis</t>
  </si>
  <si>
    <t>Margaritiflabellum</t>
  </si>
  <si>
    <t>Marywadea</t>
  </si>
  <si>
    <t>Maxiphyton</t>
  </si>
  <si>
    <t>Mialsemia</t>
  </si>
  <si>
    <t>Namacalathus</t>
  </si>
  <si>
    <t>Namalia</t>
  </si>
  <si>
    <t>Nasepia</t>
  </si>
  <si>
    <t>Nenoxites</t>
  </si>
  <si>
    <t>Nilpenia</t>
  </si>
  <si>
    <t>Obamus</t>
  </si>
  <si>
    <t>Orbisiana</t>
  </si>
  <si>
    <t>Ovatoscutum</t>
  </si>
  <si>
    <t>Palaeopascichnus</t>
  </si>
  <si>
    <t>Palaeophragmodictya</t>
  </si>
  <si>
    <t>Palaeoplatoda</t>
  </si>
  <si>
    <t>Pambikalbae</t>
  </si>
  <si>
    <t>Paracharnia</t>
  </si>
  <si>
    <t>Paraconularia</t>
  </si>
  <si>
    <t>Paravendia</t>
  </si>
  <si>
    <t xml:space="preserve">Parvancorina </t>
  </si>
  <si>
    <t>Parviscopa</t>
  </si>
  <si>
    <t>Pectinifrons</t>
  </si>
  <si>
    <t>Persimedusites</t>
  </si>
  <si>
    <t>Phyllozoon</t>
  </si>
  <si>
    <t>Piyuania</t>
  </si>
  <si>
    <t>Platypholinia</t>
  </si>
  <si>
    <t>Plexus</t>
  </si>
  <si>
    <t>Plumeropriscum</t>
  </si>
  <si>
    <t>Podolimirus</t>
  </si>
  <si>
    <t>Pomoria</t>
  </si>
  <si>
    <t>Praecambridium</t>
  </si>
  <si>
    <t>Primocandelabrum</t>
  </si>
  <si>
    <t xml:space="preserve">Pteridinium </t>
  </si>
  <si>
    <t>Qianchuania</t>
  </si>
  <si>
    <t>Ramellina</t>
  </si>
  <si>
    <t>Rangea</t>
  </si>
  <si>
    <t>Rugoconites</t>
  </si>
  <si>
    <t>Sabellidites</t>
  </si>
  <si>
    <t>Sekwitubulus</t>
  </si>
  <si>
    <t>Shaanxilithes</t>
  </si>
  <si>
    <t>Sinocylindra</t>
  </si>
  <si>
    <t>Sinotubulites</t>
  </si>
  <si>
    <t>Skinnera</t>
  </si>
  <si>
    <t>Solza</t>
  </si>
  <si>
    <t>Somatohelix</t>
  </si>
  <si>
    <t>Spriggina</t>
  </si>
  <si>
    <t>Staurinidia</t>
  </si>
  <si>
    <t>Suvorovella</t>
  </si>
  <si>
    <t>Swartpuntia</t>
  </si>
  <si>
    <t>Tamga</t>
  </si>
  <si>
    <t>Temnoxa</t>
  </si>
  <si>
    <t>Thectardis</t>
  </si>
  <si>
    <t>Trepassia</t>
  </si>
  <si>
    <t>Tribrachidium</t>
  </si>
  <si>
    <t>Triforillonia</t>
  </si>
  <si>
    <t>Vaizitsinia</t>
  </si>
  <si>
    <t>Valdainia</t>
  </si>
  <si>
    <t>Vaveliksia</t>
  </si>
  <si>
    <t>Velancorina</t>
  </si>
  <si>
    <t>Vendia</t>
  </si>
  <si>
    <t>Vendoconularia</t>
  </si>
  <si>
    <t>Vendomia</t>
  </si>
  <si>
    <t>Vendotaenids</t>
  </si>
  <si>
    <t>Ventogyrus</t>
  </si>
  <si>
    <t>Vinlandia</t>
  </si>
  <si>
    <t>Windermeria</t>
  </si>
  <si>
    <t>Wutubus</t>
  </si>
  <si>
    <t>Xiuningella</t>
  </si>
  <si>
    <t>Yarnemia</t>
  </si>
  <si>
    <t>Tunicate</t>
  </si>
  <si>
    <t>Yelovichnus</t>
  </si>
  <si>
    <t>Yilingia</t>
  </si>
  <si>
    <t>Yorgia</t>
  </si>
  <si>
    <t>Zolotytsia</t>
  </si>
  <si>
    <t>Zuunartsphyton</t>
  </si>
  <si>
    <t>Biomineraliser</t>
  </si>
  <si>
    <t>Age</t>
  </si>
  <si>
    <t>Body</t>
  </si>
  <si>
    <t>Reference</t>
  </si>
  <si>
    <t>Genus</t>
  </si>
  <si>
    <t>Morphogroup</t>
  </si>
  <si>
    <t>Type</t>
  </si>
  <si>
    <t>Bilaterian trace fossils</t>
  </si>
  <si>
    <t>Locality</t>
  </si>
  <si>
    <t>Cyanobacteria</t>
  </si>
  <si>
    <t>Bilateral</t>
  </si>
  <si>
    <t>Ikaria</t>
  </si>
  <si>
    <t>Zuunia</t>
  </si>
  <si>
    <t>M</t>
  </si>
  <si>
    <t>Yuan et al., 2011</t>
  </si>
  <si>
    <t>Carbone et al., 2015</t>
  </si>
  <si>
    <t>Hagadorn and Waggoner, 2000</t>
  </si>
  <si>
    <t>Leonov, 2007</t>
  </si>
  <si>
    <t>Droser et al., 2018</t>
  </si>
  <si>
    <t>Grazhdankin, 2014</t>
  </si>
  <si>
    <t>Ye et al., 2019</t>
  </si>
  <si>
    <t>Laflamme et al., 2013; Grazhdankin, 2014</t>
  </si>
  <si>
    <t>Laflamme et al., 2012; Grazhdankin, 2014; Dunn et al., 2018</t>
  </si>
  <si>
    <t>Grazhdankin, 2016</t>
  </si>
  <si>
    <t>Mason and Narbonne, 2016</t>
  </si>
  <si>
    <t>Fedonkin et al., 2012</t>
  </si>
  <si>
    <t>An et al., 2015</t>
  </si>
  <si>
    <t>Cui et al., 2016</t>
  </si>
  <si>
    <t>Dornbos et al., 2016; Oji et al., 2018</t>
  </si>
  <si>
    <t>Clites et al., 2012</t>
  </si>
  <si>
    <t>Wan et al., 2016; Shen et al., 2017</t>
  </si>
  <si>
    <t>Rowland and Rodriguez, 2014</t>
  </si>
  <si>
    <t>Zhu et al., 2008</t>
  </si>
  <si>
    <t>Serezhnikov and Ivantsov, 2007</t>
  </si>
  <si>
    <t>Gehling and Narbonne, 2007; Laflamme et al., 2013; Grazhdankin, 2014</t>
  </si>
  <si>
    <t>Bamforth and Narbonne, 2009; Laflamme et al., 2013; Grazhdankin, 2014</t>
  </si>
  <si>
    <t>Droser and Gehling, 2008</t>
  </si>
  <si>
    <t>Hofmann et al., 2008</t>
  </si>
  <si>
    <t>Liu et al., 2014</t>
  </si>
  <si>
    <t>Kenchington et al., 2018</t>
  </si>
  <si>
    <t>Evans et al., 2020</t>
  </si>
  <si>
    <t>Ivantsov, 2017</t>
  </si>
  <si>
    <t>Wan et al., 2016</t>
  </si>
  <si>
    <t>Kenchington, 2016</t>
  </si>
  <si>
    <t>Jenkins and Nedin, 2007</t>
  </si>
  <si>
    <t>Van Iten et al., 2014</t>
  </si>
  <si>
    <t>Dunn et al., 2018</t>
  </si>
  <si>
    <t>Trestman, 2013</t>
  </si>
  <si>
    <t>Sappenfield et al., 2011</t>
  </si>
  <si>
    <t>Chen et al., 2014</t>
  </si>
  <si>
    <t>Chen et al., 2019</t>
  </si>
  <si>
    <t>Yang et al., 2020</t>
  </si>
  <si>
    <t>High 45-90</t>
  </si>
  <si>
    <t>Low 0-45</t>
  </si>
  <si>
    <t>Radial</t>
  </si>
  <si>
    <t>Erniettomorph</t>
  </si>
  <si>
    <t>Multiconotubus</t>
  </si>
  <si>
    <t>Cai et al., 2017</t>
  </si>
  <si>
    <t>Saarina</t>
  </si>
  <si>
    <t>Cucullus</t>
  </si>
  <si>
    <t>Liulingjitaenia</t>
  </si>
  <si>
    <t>Longifuniculum</t>
  </si>
  <si>
    <t>Smith et al., 2017</t>
  </si>
  <si>
    <t>Gesinella</t>
  </si>
  <si>
    <t>Miscellaneous (control)</t>
  </si>
  <si>
    <t>Culmofrons</t>
  </si>
  <si>
    <t>Wang and Wang 2011; Ye et al., 2019</t>
  </si>
  <si>
    <t>Lossina</t>
  </si>
  <si>
    <t>Arboreomorpha?</t>
  </si>
  <si>
    <t>Frondomorph</t>
  </si>
  <si>
    <t>Protechiurus</t>
  </si>
  <si>
    <t>Fedonkin et al., 2007; Grazhdankin, 2014; Evans et al., 2018</t>
  </si>
  <si>
    <t>Fedonkin et al., 2007; Grazhdankin, 2014</t>
  </si>
  <si>
    <t>Gehling, 1987; Fedonkin et al., 2007; Gehling and Droser, 2008</t>
  </si>
  <si>
    <t>Fedonkin et al., 2007; Fedonkin et al., 2012</t>
  </si>
  <si>
    <t>Dzik, 2002; Fedonkin et al., 2007; Trestman, 2013; Grazhdankin, 2014</t>
  </si>
  <si>
    <t>Fedonkin et al., 2007</t>
  </si>
  <si>
    <t>Hagadorn and Waggoner, 2000; Fedonkin et al., 2007; Warren et al., 2017; Smith et al., 2017; Vaziri et al., 2018</t>
  </si>
  <si>
    <t>Fedonkin et al., 2007; Grazhdankin, 2014; Ivantsov et al., 2016; Smith et al., 2017</t>
  </si>
  <si>
    <t>Fedonkin et al., 2007; Grazhdankin, 2014; Vaziri et al., 2018; Nesterovsky et al., 2018</t>
  </si>
  <si>
    <t>Dzik, 2002; Fedonkin et al., 2007</t>
  </si>
  <si>
    <t>Fedonkin et al., 2007; Grazhdankin, 2014; Narbonne et al., 2014; Smith et al., 2017</t>
  </si>
  <si>
    <t>Fedonkin et al., 2007; Grazhdankin, 2014; Darroch et al., 2017; Paterson et al., 2017</t>
  </si>
  <si>
    <t>Fedonkin et al., 2007; Vaziri et al., 2018</t>
  </si>
  <si>
    <t>Fedonkin et al., 2007; Dzik and Martzyshyn, 2015</t>
  </si>
  <si>
    <t>Fedonkin et al., 2007; Grazhdankin, 2014; Chen et al., 2014; Dunn et al., 2018</t>
  </si>
  <si>
    <t>Dzik, 2002; Fedonkin et al., 2007; Chen et al., 2014; Grazhdankin, 2014</t>
  </si>
  <si>
    <t>Fedonkin et al., 2007; Solon et al., 2014</t>
  </si>
  <si>
    <t>Fedonkin et al., 2007; Trestman, 2013; Grazhdankin, 2014</t>
  </si>
  <si>
    <t>Sokolov and Fedonkin, 1990; Fedonkin et al., 2007</t>
  </si>
  <si>
    <t>Fedonkin et al., 2007; Ivantsov, 2018</t>
  </si>
  <si>
    <t>Hagadorn and Waggoner, 2000; Fedonkin et al., 2007; Grazhdankin, 2014; Smith et al., 2017</t>
  </si>
  <si>
    <t>Fedonkin et al., 2007; Grazhdankin, 2014; Solon et al., 2014</t>
  </si>
  <si>
    <t>Fedonkin et al., 2007; Fedonkin and Ivantsov, 2007; Grazhdankin, 2014</t>
  </si>
  <si>
    <t>Eoholynia</t>
  </si>
  <si>
    <t>Miaohephyton</t>
  </si>
  <si>
    <t>Jiuqunaoella</t>
  </si>
  <si>
    <t>Protoconites</t>
  </si>
  <si>
    <t>Sinospongia</t>
  </si>
  <si>
    <t>Flavostratum</t>
  </si>
  <si>
    <t>Serezhnikova, 2013</t>
  </si>
  <si>
    <t>Miettia</t>
  </si>
  <si>
    <t>Wang et al., 2014</t>
  </si>
  <si>
    <t>Costatubus</t>
  </si>
  <si>
    <t>Selly et al., 2020</t>
  </si>
  <si>
    <t>Fedonkin et al., 2007; Hofmann and Mountjoy, 2010; Bowers, 2013; Grazhdankin, 2014</t>
  </si>
  <si>
    <t>Hofmann et al., 2008; Bowers, 2013</t>
  </si>
  <si>
    <t>Hofmann and Mountjoy, 2010</t>
  </si>
  <si>
    <t>Deep</t>
  </si>
  <si>
    <t>Shallow</t>
  </si>
  <si>
    <t>Carbonate</t>
  </si>
  <si>
    <t>Siliciclastic</t>
  </si>
  <si>
    <t>Haines, 2000</t>
  </si>
  <si>
    <t>Lithology</t>
  </si>
  <si>
    <t>Lan and Chen, 2012</t>
  </si>
  <si>
    <t>Notes</t>
  </si>
  <si>
    <t>Steiner et al., 1992</t>
  </si>
  <si>
    <t>Droser et al., 2014; Nesterovsky et al., 2018</t>
  </si>
  <si>
    <t>Ivantsov et al., 2019</t>
  </si>
  <si>
    <t>Fedonkin et al., 2007; Ivantsov et al., 2019</t>
  </si>
  <si>
    <t>Moczyd lowska et al., 2014; Jensen et al., 2019</t>
  </si>
  <si>
    <t>Shen et al., 2009</t>
  </si>
  <si>
    <t>Yangtziramulus</t>
  </si>
  <si>
    <t>Fedonkin et al., 2007; Grazhdankin et al., 2008; Grazhdankin, 2014; Grytsenko, 2016; Dunn et al., 2019</t>
  </si>
  <si>
    <t>Wan et al., 2014; Kolesnikov et al., 2018</t>
  </si>
  <si>
    <t>Clapham et al., 2004; Fedonkin et al., 2007; Sperling et al., 2011</t>
  </si>
  <si>
    <t>Fedonkin et al., 2007; Grazhdankin, 2014; Ivantsov et al., 2019</t>
  </si>
  <si>
    <t>Lacustrine</t>
  </si>
  <si>
    <t>0-10</t>
  </si>
  <si>
    <t>20-30</t>
  </si>
  <si>
    <t>10-20</t>
  </si>
  <si>
    <t>30-40</t>
  </si>
  <si>
    <t>40-50</t>
  </si>
  <si>
    <t>50-60</t>
  </si>
  <si>
    <t>60-70</t>
  </si>
  <si>
    <t>70-80</t>
  </si>
  <si>
    <t>80-90</t>
  </si>
  <si>
    <t>Taxa</t>
  </si>
  <si>
    <t>Localities</t>
  </si>
  <si>
    <t>Total</t>
  </si>
  <si>
    <t>Latitude</t>
  </si>
  <si>
    <t>Total Taxa</t>
  </si>
  <si>
    <t>Biomineralisers</t>
  </si>
  <si>
    <t>Organic Template Tubes</t>
  </si>
  <si>
    <t>Biomineralising Tubes</t>
  </si>
  <si>
    <t>Soft Tubes</t>
  </si>
  <si>
    <t>Low</t>
  </si>
  <si>
    <t>High</t>
  </si>
  <si>
    <t>Cai et al., 2011</t>
  </si>
  <si>
    <t>Gnilovskaya, 1975; Boggiani et al., 2010</t>
  </si>
  <si>
    <t>Tewari, 1999; Gaucher et al., 2003</t>
  </si>
  <si>
    <t xml:space="preserve">Kimberellamorpha </t>
  </si>
  <si>
    <t>Bilateral Total</t>
  </si>
  <si>
    <t>Bilateral Map</t>
  </si>
  <si>
    <t>Biomineraliser Map</t>
  </si>
  <si>
    <t>All tubes + mineralisers</t>
  </si>
  <si>
    <t>Biomineralisers Total</t>
  </si>
  <si>
    <t>Traces</t>
  </si>
  <si>
    <t>Morphogroups</t>
  </si>
  <si>
    <t>Becker-Kerber et al., 2020</t>
  </si>
  <si>
    <t>Singh et al., 2009; Ye et al., 2019</t>
  </si>
  <si>
    <t>Fedonkin et al., 2007; Maithy and Kumar, 2007</t>
  </si>
  <si>
    <t>Fedonkin et al., 2007; Grytsenko, 2016; Laflamme et al., 2018; Dunn et al., 2019; Wang et al., 2020; Shukla and Sharma, 2020</t>
  </si>
  <si>
    <t>Longitude</t>
  </si>
  <si>
    <t>Organic Template</t>
  </si>
  <si>
    <t>Soft Body</t>
  </si>
  <si>
    <t>Meyer et al., 2012</t>
  </si>
  <si>
    <t>Agglutinated</t>
  </si>
  <si>
    <t>550-539</t>
  </si>
  <si>
    <t>Soft body (Algal)</t>
  </si>
  <si>
    <t>Noble et al., 2015</t>
  </si>
  <si>
    <t>Jensen et al., 2018</t>
  </si>
  <si>
    <t>Age reference</t>
  </si>
  <si>
    <t>Lithology reference</t>
  </si>
  <si>
    <t>Dzaugis et al., 2020</t>
  </si>
  <si>
    <t>Fedonkin et al., 2007; Grazhdankin, 2014; Hall et al., 2020</t>
  </si>
  <si>
    <t>Hall et al., 2020</t>
  </si>
  <si>
    <t>Joel et al., 2014; Hall et al., 2020</t>
  </si>
  <si>
    <t>Martin et al., 2000</t>
  </si>
  <si>
    <t>Bowring et al., 1993; Mitchell et al., 2020</t>
  </si>
  <si>
    <t>Grazhdankin et al., 2008</t>
  </si>
  <si>
    <t>-</t>
  </si>
  <si>
    <t>Haines, 2000; Husson et al., 2015</t>
  </si>
  <si>
    <t>Matthews et al., 2020</t>
  </si>
  <si>
    <t>Wood et al., 2003</t>
  </si>
  <si>
    <t>Carney, 1999</t>
  </si>
  <si>
    <t>Ivantsov et al., 2015</t>
  </si>
  <si>
    <t>Wood et al., 2017</t>
  </si>
  <si>
    <t>Semikhatov et al., 2003; but see Wood et al., 2017</t>
  </si>
  <si>
    <t>MacNaughton 2020</t>
  </si>
  <si>
    <t>Moynihan et al., 2019; MacNaughton 2020</t>
  </si>
  <si>
    <t>Narbonne et al., 2014; Rooney et al., 2020</t>
  </si>
  <si>
    <t>Macdonald et al., 2013; Rooney et al., 2020</t>
  </si>
  <si>
    <t>Weaver et al., 2006</t>
  </si>
  <si>
    <t>Hibbard et al., 2006</t>
  </si>
  <si>
    <t>Conway Morris et al., 1990</t>
  </si>
  <si>
    <t>Smith et al., 2016; Yang et al., 2020</t>
  </si>
  <si>
    <t>Alvaro et al., 2020</t>
  </si>
  <si>
    <t>Saylor et al., 2005</t>
  </si>
  <si>
    <t>Cai et al., 2010</t>
  </si>
  <si>
    <t>These sections in Nevada and California are not directly dated, but are deemed to be latest Ediacaran on the basis of the proximity of their fossils to ichnological and chemostratigraphic markers of the basal Cambrian (T. pedum and the BACE respectively).</t>
  </si>
  <si>
    <t>Parry et al., 2017</t>
  </si>
  <si>
    <t>Parry et al., 2017; Warren et al., 2019; Amorim et al., 2020</t>
  </si>
  <si>
    <t>Tarhan et al., 2014</t>
  </si>
  <si>
    <t>M - Not all taxa occur in this time-bin, specified in the Notes column.</t>
  </si>
  <si>
    <t>Non_Algal</t>
  </si>
  <si>
    <t>Non_Bilateral</t>
  </si>
  <si>
    <t>Non_Frondomorph</t>
  </si>
  <si>
    <t>Non_Tubular</t>
  </si>
  <si>
    <t>Soft_Tubes</t>
  </si>
  <si>
    <t>Total_Taxa</t>
  </si>
  <si>
    <t>Organic_template</t>
  </si>
  <si>
    <t>Soft_body</t>
  </si>
  <si>
    <t>Soft_body_(Algal)</t>
  </si>
  <si>
    <t>Biomineralising_Tubes</t>
  </si>
  <si>
    <t>Non_Bio_Org</t>
  </si>
  <si>
    <t>Non_Soft_body</t>
  </si>
  <si>
    <t>Organic_template_Tubes</t>
  </si>
  <si>
    <t>Non_Miscellaneous</t>
  </si>
  <si>
    <t>Non_Radial</t>
  </si>
  <si>
    <t>Biomineralising_Organic_template</t>
  </si>
  <si>
    <t>Complex discoidal</t>
  </si>
  <si>
    <t>Although the section is undated, both chemo- and biostratigraphy (body and trace fossils) indicate a latest Ediacaran age for the Ibor Group. Shelly fossils are found within carbonates, vendotaenids are present in siliciclastics.</t>
  </si>
  <si>
    <t>Overall diversity through time</t>
  </si>
  <si>
    <t>Non-bilateral</t>
  </si>
  <si>
    <t>545 Ma</t>
  </si>
  <si>
    <t>555 Ma</t>
  </si>
  <si>
    <t>565 Ma</t>
  </si>
  <si>
    <t>575 Ma</t>
  </si>
  <si>
    <t>Red font: &gt;581 Ma</t>
  </si>
  <si>
    <t>Grey and Calver, 2007</t>
  </si>
  <si>
    <t>Mapstone and McIlroy, 2006</t>
  </si>
  <si>
    <t>Hofmann and Mountjoy, 2001, 2010</t>
  </si>
  <si>
    <t>Shukla and Sharma, 2020</t>
  </si>
  <si>
    <t>McIlroy and Brasier, 2017; Jensen et al., 2018</t>
  </si>
  <si>
    <t>Low_TaxaMER</t>
  </si>
  <si>
    <t>High_LocalitiesMER</t>
  </si>
  <si>
    <t>Low_LocalitiesMER</t>
  </si>
  <si>
    <t>High_TaxaMER</t>
  </si>
  <si>
    <t>Low_LocalitiesSCO</t>
  </si>
  <si>
    <t>High_LocalitiesSCO</t>
  </si>
  <si>
    <t>Low_TaxaSCO</t>
  </si>
  <si>
    <t>High_TaxaSCO</t>
  </si>
  <si>
    <t>Data for Supp. Fig. 3</t>
  </si>
  <si>
    <t>All Types, for Supp. Fig. 4</t>
  </si>
  <si>
    <t>SCO01 Localities</t>
  </si>
  <si>
    <t>SCO01 Taxa</t>
  </si>
  <si>
    <t>SCO01 Normalised Taxa</t>
  </si>
  <si>
    <t>SCO01 Palaeolatitude</t>
  </si>
  <si>
    <t>SCO01</t>
  </si>
  <si>
    <t>For Kruskal-Wallis test, referenced in the code as: Overall.csv</t>
  </si>
  <si>
    <t>For Kruskal-Wallis tests, referenced in the code as: Temporal.csv</t>
  </si>
  <si>
    <t>Normalised diversity for locality density</t>
  </si>
  <si>
    <t>Diversity through time in 45° palaeolatitudinal bands</t>
  </si>
  <si>
    <t>Normalised taxon diversity for locality density through time in 45° palaeolatitudinal bands</t>
  </si>
  <si>
    <r>
      <t>Diversity in 20</t>
    </r>
    <r>
      <rPr>
        <b/>
        <sz val="11"/>
        <color theme="1"/>
        <rFont val="Calibri"/>
        <family val="2"/>
      </rPr>
      <t>°</t>
    </r>
    <r>
      <rPr>
        <b/>
        <sz val="11"/>
        <color theme="1"/>
        <rFont val="Calibri"/>
        <family val="2"/>
        <scheme val="minor"/>
      </rPr>
      <t xml:space="preserve"> palaeolatitudinal bands</t>
    </r>
  </si>
  <si>
    <t>For SCO01 Chi-squared tests, referenced in the code as: ChiSCO.csv</t>
  </si>
  <si>
    <t>Type and body composition counts in 45° palaeolatitudinal bands</t>
  </si>
  <si>
    <t>For SCO01 Kruskal-Wallis tests, referenced in the code as: OverallSCO.csv</t>
  </si>
  <si>
    <t>Taxa and locality counts in 20° palaeolatitudinal bands</t>
  </si>
  <si>
    <t>MER21 Palaeolatitude</t>
  </si>
  <si>
    <t>MER21 Taxa</t>
  </si>
  <si>
    <t>MER21 Localities</t>
  </si>
  <si>
    <t>MER21 Normalised Taxa</t>
  </si>
  <si>
    <t>For MER21 Chi-squared tests, referenced in the code as: ChiMER.csv</t>
  </si>
  <si>
    <t>For MER21 Kruskal-Wallis test, referenced in the code as: OverallMER.csv</t>
  </si>
  <si>
    <t>MER21</t>
  </si>
  <si>
    <t>Fedonkin et al., 2007; McIlroy and Brasier, 2017</t>
  </si>
  <si>
    <t>Fedonkin et al., 2007; Kumar and Pandey, 2009; Ivantsov et al., 2014; McIlroy and Brasier, 2017; Bobrovskiy et al., 2018; Ivantsov, 2018</t>
  </si>
  <si>
    <t>Gehling, 2000; McMahon et al., 2020</t>
  </si>
  <si>
    <t>Anulitibus</t>
  </si>
  <si>
    <t>CaCO3 Biomineraliser</t>
  </si>
  <si>
    <t>Moczydłowska et al., 2021</t>
  </si>
  <si>
    <t>Hagadorn and Waggoner, 2000; Fedonkin et al., 2007; Hofmann and Mountjoy, 2010; Zhuravlev et al., 2012; Yang et al., 2016; Warren et al., 2017; Vaziri et al., 2018; Liang et al., 2020</t>
  </si>
  <si>
    <t>Coniculus</t>
  </si>
  <si>
    <t>Convolutubus</t>
  </si>
  <si>
    <t>Fedonkin et al., 2007; Grazhdankin, 2014; Dunn et al., 2018; Ivantsov et al., 2019; Wang et al., 2021</t>
  </si>
  <si>
    <t>Fistula</t>
  </si>
  <si>
    <t>Yuan et al., 2011; Wan et al., 2020</t>
  </si>
  <si>
    <t>Tarhan et al., 2014; Cui et al., 2016; Ivantsov, 2018; Nesterovsky et al., 2018; Luo and Miao, 2020</t>
  </si>
  <si>
    <t>Fedonkin et al., 2007; Grazhdankin, 2014; McIlroy and Brasier, 2017; Ivantsov, 2018; Kolesnikov et al., 2018; Liu and Tindal, 2020; Becker-Kerber et al., 2020</t>
  </si>
  <si>
    <t>Zhuravlev et al., 2012; Liang et al., 2020</t>
  </si>
  <si>
    <t>Jensen et al., 2006; Liu and McIlroy, 2015; Tarhan et al., 2020</t>
  </si>
  <si>
    <t>Bekker, 2013; Razumovskiy et al., 2015; Vaziri et al., 2018</t>
  </si>
  <si>
    <t>Grazhdankin et al., 2011; Kolesnikov and Bobkov, 2019</t>
  </si>
  <si>
    <t>Mezenia</t>
  </si>
  <si>
    <t>Grazhdankin et al., 2007</t>
  </si>
  <si>
    <t>Grazhdankin et al., 2009</t>
  </si>
  <si>
    <t>Note - Finnmark biomineralisers are Si biomineralising</t>
  </si>
  <si>
    <t>Charniodiscus</t>
  </si>
  <si>
    <t>Fedonkin et al., 2007; Chen et al., 2014; Wang et al., 2020</t>
  </si>
  <si>
    <t>Fedonkin et al., 2007; Zhuravlev et al., 2012; Warren et al., 2017; Shore et al., 2021</t>
  </si>
  <si>
    <t>Fedonkin et al., 2007; Grazhdankin, 2014; Hall et al., 2020; Vaziri et al., 2021</t>
  </si>
  <si>
    <t>Vaziri et al., 2021</t>
  </si>
  <si>
    <t>Vickers-Rich et al., 2018; Vaziri et al., 2021</t>
  </si>
  <si>
    <t>Vaziri et al., 2018; Francovschi et al., 2021</t>
  </si>
  <si>
    <t>Grazhdankin et al., 2011; Levashova et al., 2013; Razumovskiy et al., 2020</t>
  </si>
  <si>
    <t>White Sea, Russia</t>
  </si>
  <si>
    <t>Asha Group, South Urals</t>
  </si>
  <si>
    <t>Chernokamen Formation, Central Urals</t>
  </si>
  <si>
    <t>Yudoma Group, Siberia</t>
  </si>
  <si>
    <t>Khatyspyt Formation, Olenek Uplift, Siberia</t>
  </si>
  <si>
    <t>Ediacara Member, South Australia</t>
  </si>
  <si>
    <t>Wonoka Formation, South Australia</t>
  </si>
  <si>
    <t>Johnny Cake Shale, Kimberley, Western Australia</t>
  </si>
  <si>
    <t>Moldova and Ukraine</t>
  </si>
  <si>
    <t>Blueflower Formation, NW Canada</t>
  </si>
  <si>
    <t>Nadaleen Formation, NW Canada</t>
  </si>
  <si>
    <t>Miette Group, British Columbia</t>
  </si>
  <si>
    <t>Conception and St. John’s Groups, Newfoundland</t>
  </si>
  <si>
    <t>The Kushk Series, Iran</t>
  </si>
  <si>
    <t>Lantian Formation, South China</t>
  </si>
  <si>
    <t>Miaohe Member, Yangtze Gorges, South China</t>
  </si>
  <si>
    <t>Dengying Formation, Yangtze Gorges, South China</t>
  </si>
  <si>
    <t>Shaanxi Province, South China</t>
  </si>
  <si>
    <t>Nama Group, Namibia</t>
  </si>
  <si>
    <t>Bhima Group, Karnataka</t>
  </si>
  <si>
    <t>Corumbá Group, SW Brazil/Paraguay</t>
  </si>
  <si>
    <t>Itajaí Basin, Brazil</t>
  </si>
  <si>
    <t>Ibor Group, Spain</t>
  </si>
  <si>
    <t>Maplewell Group, Charnwood, UK</t>
  </si>
  <si>
    <t>Albemarle Group, North Carolina</t>
  </si>
  <si>
    <t>Zuun-Arts Formation, Mongolia</t>
  </si>
  <si>
    <t>Ara Group, Oman</t>
  </si>
  <si>
    <t>Stáhpogieddi Formation, Finnmark</t>
  </si>
  <si>
    <t xml:space="preserve">Vindhyan and Marwar Supergroups, and Krol and Tal Groups, Uttar Pradesh Region </t>
  </si>
  <si>
    <t xml:space="preserve">Johnnie Formation, Wood Canyon Formation, Stirling Quartzite and Deep Spring Formation, California and Nevada, West USA </t>
  </si>
  <si>
    <t>Bilateralomorpha1</t>
  </si>
  <si>
    <t>SiO2 Biomineraliser</t>
  </si>
  <si>
    <t>MER21 High Types, for Fig. 3b</t>
  </si>
  <si>
    <t>MER21 Low Types, for Fig. 3a</t>
  </si>
  <si>
    <t>MER21 data for normalised graphs in Supp. Figs. 9-12</t>
  </si>
  <si>
    <t>Bilateral 560-551</t>
  </si>
  <si>
    <t>Bilateral 550-539</t>
  </si>
  <si>
    <t>MER21 data for graphs in Figs. 4, 5 and Supp. Figs. 10-12</t>
  </si>
  <si>
    <t>Grazhdankin, 2004</t>
  </si>
  <si>
    <t>The Lyamtsa to Erga Formations have been interpreted by Grazhdankin 2004 as shoreface to distributary mouth bar and deltaic deposits, with U-Pb dated tuffs in the Zimnegory Formation (555.3±0.3Ma, Martin et al 2000), and base of the Verkhovka Fm (558±1 Ma) bracketing a substantial portion of the fossil-bearing stratigraphy, and implying the the assemblage likely lies within the 560-551Ma age bracket.</t>
  </si>
  <si>
    <r>
      <t>The Asha Group in the South Urals includes a recent U-Pb date of 573.0</t>
    </r>
    <r>
      <rPr>
        <sz val="11"/>
        <rFont val="Calibri"/>
        <family val="2"/>
      </rPr>
      <t>±2.3</t>
    </r>
    <r>
      <rPr>
        <sz val="11"/>
        <rFont val="Calibri"/>
        <family val="2"/>
        <scheme val="minor"/>
      </rPr>
      <t xml:space="preserve"> Ma in the Basa Formation (Razumovskiy et al., 2020), and 547.6 ± 3.8 Ma from what is thought to be the Zigan Fm (Levashova et al., 2013), although other authors suggest this tuff could be derived from the lower Basa Fm (Kolesnikov &amp; Bobkov, 2019).Although those latter authors have proposed a Cambrian age for the Asha Group localities, the Razumovskiy et al 2020 dating would suggest that 560-551 Ma is the most likely and appropriate time bin, although the majority of the fossil occurrences in the region could lie anywhere between 573-547 Ma (or younger). There is therefore ongoing uncertainty  regarding the age of this succession. Kolesnikov and Bobkov (2019) summarise the depositional environments of the section as terrigenous shallow inner shelf.</t>
    </r>
  </si>
  <si>
    <t xml:space="preserve">This site is undated, and so we correlate it to the White Sea (Russia) following multiple previous authors who note the similar biotas of these two localities. </t>
  </si>
  <si>
    <t>For Yudoma, the only available date is a 553 ± 23 Myr Pb-Pb date from the upper Aim Formation (Semikhatov et al., 2003). The taxa present in the Aim and Ust-Yudoma formations predominantly occur in younger late-Ediacaran rocks elsewhere, and thus we suggest that they fall within our youngest time-bin. Almost all macrofossils lie within carbonate lithologies, but some tubular taxa can be found within dolomitised siltstones.</t>
  </si>
  <si>
    <r>
      <t>Mitchell et al., 2020, include the line: "</t>
    </r>
    <r>
      <rPr>
        <i/>
        <sz val="11"/>
        <rFont val="Calibri"/>
        <family val="2"/>
        <scheme val="minor"/>
      </rPr>
      <t>A positive δ13Ccarb excursion in the Khatyspyt Formation has been correlated with an excursion of similar magnitude in the &lt;550 Ma Gaojiashan Member of the Dengying Formation (73). Strontium isotope ratios (87Sr/86Sr) in the Khatyspyt Formation are consistently ca. 0.7080 (73,74), a value approaching some of the ratios seen in the Gaojiashan Member (75), so this correlation seems plausible.</t>
    </r>
    <r>
      <rPr>
        <sz val="11"/>
        <rFont val="Calibri"/>
        <family val="2"/>
        <scheme val="minor"/>
      </rPr>
      <t>"  If correct, this means that these taxa should be assigned to the 550-541 Ma time bin, since all macrofossils here occur at a higher level than the C isotope excursion (see Cui et al., 2016 for the data). See also discussion in Xiao et al., 2016, and Bykova et al., 2020. The environment is described as a distal, low energy carbonate ramp, with most fossils occurring within thinly laminated mudstones and carbonates.</t>
    </r>
  </si>
  <si>
    <t>Dates from the Sylvitsa Group include U-Pb dates of 567.2 ± 3.9 Ma from the Peravalok Fm (beneath the most fossil-bearing units, but containing some algal taxa and Palaeopascichnus), and 557 ± 13 Ma in the Chernokamen Fm (Ronkin et al., 2006, summarised in Maslov et al 2013). Based on the presence of Dickinsonia and Yorgia and their well-constrained ages elsewhere on the East European Platform, the biota from Central Urals are likely to lie in the 560-551 Ma time bin. The complex depositional history of the succession is outlined in Grazhdankin et al., 2009, but the succession is predominantly clastic and shallow marine.</t>
  </si>
  <si>
    <t>The Wonoka Fm. contains a negative carbon isotope excursion that has been widely correlated to the Shuram excursion. Recent dating of sites in NW Canada and Oman suggest that this excursion lasted ~574-567 Ma (as dated by Rooney et al., 2020). Given that the fossils occur towards the top of the Wonoka Fm., 570-561 Ma for the age of the fossils in this unit is plausible, if not necessarily 100% accurate. The Wonoka Fm. is also sedimentologically diverse, with certain parts of the stratigraphy recording deep (1000 m) canyon fills or turbiditic slope sedimentation. The fossils occur in a shelf, shallow marine setting deposited under storm influence, specifically in an interval of calcareous siltstone and silty limestone. Fossils occur within/on the surface of limestone lenses. As such, we document this as a 'shallow' environment, and 'carbonate', although the unit as a whole is mixed clastic and carbonate.</t>
  </si>
  <si>
    <t xml:space="preserve">No chronostratigraphic control currently exists for this locality; we follow discussions of age in Lan and Chen, 2012, who suggest that the fossils here are of &gt;581Ma. Those authors also claim that the interval in which the fossils are found is lacustrine (following Dunster et al., 2000). We follow this interpretation here. The specimens described from this locality, discussed as Palaeopascichnus by Lan and Chen (2012), are far larger than other examples of that genus. We have therefore considered them here to be specimens of Curviacus. </t>
  </si>
  <si>
    <t>This section is undated. We follow the correlation of the Arumbera Sandstone with the Rawnsley Quartzite of the Adelaide Rift Complex proposed by Grey and Calver, 2007</t>
  </si>
  <si>
    <t>The Mohyliv Formation of the Moguiliv-Podilska Group is dated to 556.78 ± 0.18 Ma, and the overlying Yarishyv Fm to 555.4 ± 2.9Ma by U-Pb dating of zircons in bentonite horizons (Soldatenko et al., 2019; note however that Francovschi et al., 2021 consider the older date to also lie within the Yarishyv Fm). Fossils occur between, above and below those dated horizons in Ukraine. The Kalyus Beds of the Nagoryany Fm in neighbouring Moldova - a unit that lies above the Yarishyv Fm. - is dated to 551.2 ± 4.2 Ma by Francovschi et al. (2021). The fossils of the Moldova/Ukraine region are therefore considered to lie predominantly within the 560-551 Ma time bin (note however that Paszkowski et al 2019 present inconsistent age data from the underlying Volyn volcanics that are in conflict with these dates, as discussed in Francovschi et al., 2021). Fossil-bearing units are almost entirely siliciclastic.</t>
  </si>
  <si>
    <t>Macdonald et al., 2013 suggest that the Blueflower Formation fossils are 555 Ma or younger. Rooney et al 2020 date the lower Blueflower Fm to 567 Ma (plus/minus 3 Myr), but do not provide a minimum age for the top of the unit. On the basis of its position within the stratigraphy, we place Windermeria in the 560-551 Ma time bin, and all other taxa in the 550-539 Ma time bin.</t>
  </si>
  <si>
    <t>Rooney et al., 2020 obtain a date of 574 ± 4.7 Ma from above the fossils of the Nadaleen Fm (previously referred to as the June Beds - see Moynihan et al., 2019), suggesting that the macrofossils there have a minimum age of ~574 Ma.</t>
  </si>
  <si>
    <t>The Miette Group has not been dated. Carbonates of the Byng Fm contain Cloudina, strongly suggesting that they are of similar latest Ediacaran age (i.e. &lt;550Ma) to other global occurrences of that genus. The siliciclastic beds beneath this are of unknown age, and could therefore extend down into the 560-551 Ma time bin. We place Bradgatia, Miettia and Vendotaenids in this older time-bin on the balance of probability, and Cloudina and Namacalathus in the youngest time-bin, but acknowledge that this assignment is based on the assumption that these taxa can be used to indicate specific time intervals, which may be incorrect.</t>
  </si>
  <si>
    <r>
      <t>Vaziri et al., 2021 state that the fossils are found within a single siliciclastic facies within a carbonate succession. In the absence of shallow water sedimentological indicators for that specific facies, those authors interpret it as a deep sub-tidal depositional environment. Since much of the rest of the unit comprises shallow marine carbonates, we consider it likely that the fossiliferous deposits would still fall within a 'nearshore' depositional setting. Vaziri et al. (2021) state: "</t>
    </r>
    <r>
      <rPr>
        <i/>
        <sz val="11"/>
        <rFont val="Calibri"/>
        <family val="2"/>
        <scheme val="minor"/>
      </rPr>
      <t>Vickers-Rich et al. (2017) provided a 207Pb/206Pb date (581 ± 8.6 Ma) and a 207Pb/206Pb date (540.7 ± 4.8 Ma) from the fossiliferous sub-unit 6 of the Kushk Series in the Kushk area (Wedge locale) and the Chahmir area (this study), supporting the Ediacaran age of these units. Given the co-occurrence of the terminal-Ediacaran index fossils (Corumbella), our study supports the younger (540.7 ± 4.8 Ma) age for these units, and implies a Nama-assemblage age (ca. 545–539 Ma; Linnemann et al., 2019) for the Kushk Series (Vaziri et al., 2018, 2019)</t>
    </r>
    <r>
      <rPr>
        <sz val="11"/>
        <rFont val="Calibri"/>
        <family val="2"/>
        <scheme val="minor"/>
      </rPr>
      <t>." We follow that line of reasoning here.</t>
    </r>
  </si>
  <si>
    <t>This unit has not been directly dated. Litho- and chemostratigraphic correlation with the Doushantuo Fm implies a likely &gt;580 Ma age.</t>
  </si>
  <si>
    <t xml:space="preserve">A date of 551.1 ± 0.7 Ma from the top of the Miaohe Member in the Jiuqunao section of South China indicates that its fossils are &gt;551 Ma in age. </t>
  </si>
  <si>
    <t>Uncertainties regarding the precise correlation of the Miaohe Member and the Dengying Formation (see An et al., 2015) exist, but the most recent review of the Shibantan Member interprets the 551 Ma date above (Condon et al., 2005) to be a maximum age for the Shibantan Member fossils. A tuffaceous layer dated to 543.4 ± 3.5 Ma in the overlying Baimatuo Member (Huang et al., 2020) provides a minimum age for the fossils. They therefore fall within our 551-539Ma time bin. The fossil bearing sections lie within carbonates are interpreted to reflect depositional environments between storm- and fair-weather wave base (Xiao et al., 2021).</t>
  </si>
  <si>
    <t>Xiao et al., 2021</t>
  </si>
  <si>
    <t>This section is not directly dated. Correlation with other sections in South China led Cai et al., 2010 to propose a 551-541 Ma age for the Dengying Fm at this locality. Tubular taxa are largely, but not exclusively, found in carbonate beds.</t>
  </si>
  <si>
    <t>Soft-bodied taxa and trace fossils are found within siliciclastic horizons, whereas biomineralizers are found in carbonates. Numerous dates for the fossil-bearing units in the Nama Group have been presented, ranging from ~545 Ma to 538.8Ma (summarised in Linnemann et al., 2019).</t>
  </si>
  <si>
    <t>This section is undated, and the veracity of several claimed genera from this locality has been questioned. Tarhan et al., 2014 propose that the sections containing Shaanxilithes are of latest Ediacaran age. Those fossils occur on siltstone and dolomite beds, and therefore we categorise the lithology here as mixed carbonate and siliciclastic.</t>
  </si>
  <si>
    <t>The Hotpet Fm contains a solitary frondose specimen (Shukla and Sharma, 2020), and is extremely poorly age constrained. We have opted to assign it to our 570-561 Ma time-bin, noting that frondose taxa elsewhere in the world are common in this time interval, but in reality it could lie anywhere within the late Ediacaran.</t>
  </si>
  <si>
    <t>A date from the Ara Group, just below the BACE carbon isotope excursion but above Cloudina specimens, provides a minimum age constraint of 541.00 ± 0.81 Ma for the fossils in this unit.</t>
  </si>
  <si>
    <t>Jensen et al., 2018 discuss the age of the fossil bearing strata in this section at length, and propose a young age, but the section could lie within the 560-551 Ma time bin (or even older). Since this is so uncertain, we have opted for both the youngest and the middle option (560-539 Ma), but note that these fossils could be older. Yelovichnus is reported from only the very end of the section, so is only placed in the youngest time-bin. Palaeopascichnus, Anulitubus, Coniculus and Fistula are placed in the older bracket 580-571 Ma, following the discussion presented by Moczydłowska et al., 2021.</t>
  </si>
  <si>
    <t>This section is currently undated, but the Zuun-Arts Fm (with fossils found close to its base) is considered by Smith et al., 2016 and Yang et al., 2020 to be latest Ediacaran in age.</t>
  </si>
  <si>
    <t>Multiple U-Pb radiometric dates of zircons from tuffs in the Maplewell Group indicate that the majority of the fossils in the Charnwood sections, within the Bradgate Formation, lie between 561.85 ±0.34 Ma and 556.6 ±6.4 Ma (Noble et al., 2015). We have therefore placed them within our 561-550 Ma age bracket.</t>
  </si>
  <si>
    <r>
      <t xml:space="preserve">U-Pb dates from zircons in tuffs in the Bocaina and Guaicurus formations bracket the fossils and traces in the Tamengo Formation to between 555.18 </t>
    </r>
    <r>
      <rPr>
        <sz val="11"/>
        <rFont val="Calibri"/>
        <family val="2"/>
      </rPr>
      <t>± 0.3 Ma and 541.85 ± 0.75 Ma (Parry et al., 2017). The carbonates and marls/siltstones of the Tamengo Formation are interpreted as shallow marine deposits. The Itapucumi Group in neighbouring Paraguay is also considered to be latest Ediacaran in age.</t>
    </r>
  </si>
  <si>
    <t>The sedimentary succession within the Itajai Basin includes a U-Pb date of 563 ± 3.3 Ma (Becker-Kerber et al., 2020). This is close to, but not precisely correlated with, the level at which Palaeopascichnus fossils are found in other sections within the basin. We infer the age of these Palaeopascichnus specimens to most likely fall within the 570-561 Ma time bin.</t>
  </si>
  <si>
    <r>
      <t xml:space="preserve">The Flat Swamp Member of the Cid Formation, lying above the fossil-bearing portions of the Cid Formation, has yielded a U-Pb date of 547 </t>
    </r>
    <r>
      <rPr>
        <sz val="11"/>
        <rFont val="Calibri"/>
        <family val="2"/>
      </rPr>
      <t>±</t>
    </r>
    <r>
      <rPr>
        <sz val="7.7"/>
        <rFont val="Calibri"/>
        <family val="2"/>
      </rPr>
      <t xml:space="preserve"> </t>
    </r>
    <r>
      <rPr>
        <sz val="11"/>
        <rFont val="Calibri"/>
        <family val="2"/>
        <scheme val="minor"/>
      </rPr>
      <t>2 Ma (Hibbard et al., 2006), providing a minimum age for those specimens.</t>
    </r>
  </si>
  <si>
    <t>Ronkin et al., 2006; Maslov et al., 2013; Grazhdankin et al., 2011</t>
  </si>
  <si>
    <t>Soldatenko et al., 2019; Francovschi et al., 2021</t>
  </si>
  <si>
    <t>Condon et al., 2005; An et al., 2015</t>
  </si>
  <si>
    <t>Ye et al., 2019; Xiao et al., 2020</t>
  </si>
  <si>
    <t>Condon et al., 2005; Huang et al., 2020; Xiao et al., 2021</t>
  </si>
  <si>
    <t>Grotzinger et al., 1995; Linnemann et al., 2019</t>
  </si>
  <si>
    <t>Amthor et al., 2003; Bowring et al., 2007</t>
  </si>
  <si>
    <t>Data for Fig. 2 inset and Supp. Fig. 13 inset</t>
  </si>
  <si>
    <t>Data for Supp. Figs. 6 and 14</t>
  </si>
  <si>
    <t>SCO01 Low Types, for Supp. Fig. 15a</t>
  </si>
  <si>
    <t>SCO01 High Types, for Supp. Fig. 15b</t>
  </si>
  <si>
    <t>SCO01 data for graphs in Supp. Figs. 18, 19, 21 and 22</t>
  </si>
  <si>
    <t>SCO01 data for normalised graphs in Supp. Figs. 19-22</t>
  </si>
  <si>
    <t>Thectardis, Fractofusus, Primocandelabrum, Palaeopascichnus, Bradgatia, Beothukis, Charnia, Charniodiscus, Vinlandia and Trepassia occur in the 580-571 Ma time bin (on the basis of age models presented in Matthews et al., 2020m who present six U-Pb dates through the Drook to Fermeuse formations). Those taxa, and all the others reported from both the Avalon and Bonavista Peninsulas, also occur in the 570-561 Ma time bin (apart from Vendotaenids in 560-551 Ma and Orbisiana in 550-539 Ma). The fossil-bearing sections of the Conception Group, and the Trepassey Formation of the St John's Group, are widely interpreted to reflect deep marine, siliciclastic, turbidite-dominated depositional environments (e.g. Wood et al., 2003).</t>
  </si>
  <si>
    <t>Localities 560-551</t>
  </si>
  <si>
    <t>Localities 550-539</t>
  </si>
  <si>
    <t>Arumbera Sandstone, Northern Territory</t>
  </si>
  <si>
    <t>Type and Morphogroup data through time</t>
  </si>
  <si>
    <t>All Morphogroups, for Supp. Fig. 5</t>
  </si>
  <si>
    <t>MER21 Low Morphogroups, for Supp. Fig. 8a</t>
  </si>
  <si>
    <t>MER21 High Morphogroups, for Supp. Fig. 8b</t>
  </si>
  <si>
    <t>SCO01 Low Morphogroups, for Supp. Fig. 17a</t>
  </si>
  <si>
    <t>SCO01 High Morphogroups, for Supp. Fig. 17b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</si>
</sst>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rgb="FF3F3F76"/>
      <name val="Calibri"/>
      <family val="2"/>
      <scheme val="minor"/>
    </font>
    <font>
      <b/>
      <sz val="11"/>
      <color rgb="FFFF0000"/>
      <name val="Calibri"/>
      <family val="2"/>
      <scheme val="minor"/>
    </font>
    <font>
      <b/>
      <sz val="11"/>
      <name val="Calibri"/>
      <family val="2"/>
      <scheme val="minor"/>
    </font>
    <font>
      <sz val="11"/>
      <color rgb="FF9C0006"/>
      <name val="Calibri"/>
      <family val="2"/>
      <scheme val="minor"/>
    </font>
    <font>
      <b/>
      <sz val="11"/>
      <color theme="1"/>
      <name val="Calibri"/>
      <family val="2"/>
    </font>
    <font>
      <sz val="11"/>
      <name val="Calibri"/>
      <family val="2"/>
    </font>
    <font>
      <sz val="7.7"/>
      <name val="Calibri"/>
      <family val="2"/>
    </font>
    <font>
      <i/>
      <sz val="11"/>
      <name val="Calibri"/>
      <family val="2"/>
      <scheme val="minor"/>
    </font>
  </fonts>
  <fills count="23">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rgb="FFE2C7EB"/>
        <bgColor indexed="64"/>
      </patternFill>
    </fill>
    <fill>
      <patternFill patternType="solid">
        <fgColor rgb="FFEFE0F4"/>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7CE"/>
      </patternFill>
    </fill>
    <fill>
      <patternFill patternType="solid">
        <fgColor rgb="FFFFEB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249977111117893"/>
        <bgColor indexed="64"/>
      </patternFill>
    </fill>
  </fills>
  <borders count="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4" fillId="2" borderId="6" applyNumberForma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9" fillId="16" borderId="0" applyNumberFormat="0" applyBorder="0" applyAlignment="0" applyProtection="0"/>
  </cellStyleXfs>
  <cellXfs count="223">
    <xf numFmtId="0" fontId="0" fillId="0" borderId="0" xfId="0"/>
    <xf numFmtId="0" fontId="0" fillId="0" borderId="0" xfId="0" applyFill="1"/>
    <xf numFmtId="0" fontId="0" fillId="0" borderId="1" xfId="0" applyFill="1" applyBorder="1"/>
    <xf numFmtId="0" fontId="2" fillId="0" borderId="1" xfId="0" applyFont="1" applyFill="1" applyBorder="1" applyAlignment="1">
      <alignment wrapText="1"/>
    </xf>
    <xf numFmtId="0" fontId="0" fillId="0" borderId="1" xfId="0" applyBorder="1"/>
    <xf numFmtId="0" fontId="1" fillId="0" borderId="5" xfId="0" applyFont="1" applyBorder="1" applyAlignment="1">
      <alignment wrapText="1"/>
    </xf>
    <xf numFmtId="0" fontId="0" fillId="0" borderId="0" xfId="0" applyBorder="1"/>
    <xf numFmtId="0" fontId="1" fillId="6" borderId="4" xfId="5" applyFont="1" applyBorder="1" applyAlignment="1">
      <alignment horizontal="left" textRotation="90" wrapText="1"/>
    </xf>
    <xf numFmtId="0" fontId="1" fillId="7" borderId="5" xfId="6" applyFont="1" applyBorder="1" applyAlignment="1">
      <alignment horizontal="left" textRotation="90" wrapText="1"/>
    </xf>
    <xf numFmtId="0" fontId="1" fillId="7" borderId="4" xfId="6" applyFont="1" applyBorder="1" applyAlignment="1">
      <alignment horizontal="left" textRotation="90" wrapText="1"/>
    </xf>
    <xf numFmtId="0" fontId="7" fillId="0" borderId="0" xfId="0" applyFont="1"/>
    <xf numFmtId="0" fontId="2" fillId="0" borderId="0" xfId="0" applyFont="1" applyFill="1" applyAlignment="1">
      <alignment wrapText="1"/>
    </xf>
    <xf numFmtId="0" fontId="2" fillId="0" borderId="1" xfId="0" applyFont="1" applyFill="1" applyBorder="1"/>
    <xf numFmtId="0" fontId="2" fillId="0" borderId="0" xfId="0" applyFont="1" applyFill="1"/>
    <xf numFmtId="0" fontId="2" fillId="0" borderId="0" xfId="0" applyFont="1" applyFill="1" applyAlignment="1">
      <alignment horizontal="left" wrapText="1"/>
    </xf>
    <xf numFmtId="0" fontId="2" fillId="0" borderId="1" xfId="0" applyFont="1" applyFill="1" applyBorder="1" applyAlignment="1">
      <alignment horizontal="left" wrapText="1"/>
    </xf>
    <xf numFmtId="0" fontId="2" fillId="0" borderId="0" xfId="0" applyFont="1" applyAlignment="1"/>
    <xf numFmtId="0" fontId="0" fillId="0" borderId="0" xfId="0" applyFill="1" applyBorder="1"/>
    <xf numFmtId="0" fontId="1" fillId="0" borderId="0" xfId="0" applyFont="1"/>
    <xf numFmtId="0" fontId="1" fillId="3" borderId="9" xfId="2" applyFont="1" applyBorder="1" applyAlignment="1">
      <alignment textRotation="90" wrapText="1"/>
    </xf>
    <xf numFmtId="0" fontId="0" fillId="0" borderId="3" xfId="0" applyBorder="1"/>
    <xf numFmtId="0" fontId="1" fillId="9" borderId="5" xfId="0" applyFont="1" applyFill="1" applyBorder="1" applyAlignment="1">
      <alignment textRotation="90" wrapText="1"/>
    </xf>
    <xf numFmtId="0" fontId="1" fillId="9" borderId="10" xfId="0" applyFont="1" applyFill="1" applyBorder="1" applyAlignment="1">
      <alignment textRotation="90" wrapText="1"/>
    </xf>
    <xf numFmtId="0" fontId="1" fillId="10" borderId="4" xfId="0" applyFont="1" applyFill="1" applyBorder="1" applyAlignment="1">
      <alignment textRotation="90" wrapText="1"/>
    </xf>
    <xf numFmtId="0" fontId="1" fillId="10" borderId="5" xfId="0" applyFont="1" applyFill="1" applyBorder="1" applyAlignment="1">
      <alignment textRotation="90" wrapText="1"/>
    </xf>
    <xf numFmtId="0" fontId="0" fillId="0" borderId="3" xfId="0" applyFill="1" applyBorder="1"/>
    <xf numFmtId="0" fontId="2" fillId="0" borderId="0" xfId="0" applyFont="1" applyFill="1" applyAlignment="1"/>
    <xf numFmtId="0" fontId="2" fillId="0" borderId="1" xfId="0" applyFont="1" applyBorder="1" applyAlignment="1">
      <alignment wrapText="1"/>
    </xf>
    <xf numFmtId="0" fontId="2" fillId="0" borderId="0" xfId="0" applyFont="1"/>
    <xf numFmtId="0" fontId="2" fillId="0" borderId="0" xfId="0" applyFont="1" applyAlignment="1">
      <alignment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4" xfId="0" applyFont="1" applyBorder="1"/>
    <xf numFmtId="0" fontId="1" fillId="11" borderId="5" xfId="6" applyFont="1" applyFill="1" applyBorder="1" applyAlignment="1">
      <alignment horizontal="left" textRotation="90" wrapText="1"/>
    </xf>
    <xf numFmtId="0" fontId="1" fillId="11" borderId="10" xfId="6" applyFont="1" applyFill="1" applyBorder="1" applyAlignment="1">
      <alignment horizontal="left" textRotation="90" wrapText="1"/>
    </xf>
    <xf numFmtId="0" fontId="1" fillId="12" borderId="5" xfId="5" applyFont="1" applyFill="1" applyBorder="1" applyAlignment="1">
      <alignment horizontal="left" textRotation="90" wrapText="1"/>
    </xf>
    <xf numFmtId="0" fontId="1" fillId="12" borderId="4" xfId="5" applyFont="1" applyFill="1" applyBorder="1" applyAlignment="1">
      <alignment horizontal="left" textRotation="90" wrapText="1"/>
    </xf>
    <xf numFmtId="0" fontId="5" fillId="0" borderId="0" xfId="0" applyFont="1"/>
    <xf numFmtId="0" fontId="0" fillId="0" borderId="12" xfId="0" applyBorder="1"/>
    <xf numFmtId="0" fontId="2" fillId="0" borderId="3" xfId="0" applyFont="1" applyBorder="1" applyAlignment="1">
      <alignment horizontal="left" wrapText="1"/>
    </xf>
    <xf numFmtId="0" fontId="0" fillId="0" borderId="0" xfId="0" applyAlignment="1">
      <alignment textRotation="90"/>
    </xf>
    <xf numFmtId="0" fontId="1" fillId="0" borderId="3" xfId="0" applyFont="1" applyBorder="1"/>
    <xf numFmtId="0" fontId="1" fillId="8" borderId="4" xfId="7" applyFont="1" applyBorder="1" applyAlignment="1">
      <alignment horizontal="left" textRotation="90" wrapText="1"/>
    </xf>
    <xf numFmtId="0" fontId="8" fillId="8" borderId="4" xfId="7" applyFont="1" applyBorder="1" applyAlignment="1">
      <alignment horizontal="left" textRotation="90" wrapText="1"/>
    </xf>
    <xf numFmtId="0" fontId="1" fillId="8" borderId="5" xfId="7" applyFont="1" applyBorder="1" applyAlignment="1">
      <alignment horizontal="left" textRotation="90" wrapText="1"/>
    </xf>
    <xf numFmtId="0" fontId="1" fillId="10" borderId="4" xfId="0" applyFont="1" applyFill="1" applyBorder="1" applyAlignment="1">
      <alignment textRotation="90"/>
    </xf>
    <xf numFmtId="0" fontId="1" fillId="10" borderId="10" xfId="0" applyFont="1" applyFill="1" applyBorder="1" applyAlignment="1">
      <alignment textRotation="90"/>
    </xf>
    <xf numFmtId="0" fontId="1" fillId="13" borderId="4" xfId="0" applyFont="1" applyFill="1" applyBorder="1" applyAlignment="1">
      <alignment textRotation="90"/>
    </xf>
    <xf numFmtId="0" fontId="7" fillId="0" borderId="3" xfId="0" applyFont="1" applyBorder="1"/>
    <xf numFmtId="0" fontId="1" fillId="15" borderId="1" xfId="0" applyFont="1" applyFill="1" applyBorder="1" applyAlignment="1">
      <alignment horizontal="center"/>
    </xf>
    <xf numFmtId="0" fontId="8" fillId="15" borderId="5" xfId="7" applyFont="1" applyFill="1" applyBorder="1" applyAlignment="1">
      <alignment horizontal="left" textRotation="90" wrapText="1"/>
    </xf>
    <xf numFmtId="0" fontId="1" fillId="0" borderId="10" xfId="0" applyFont="1" applyBorder="1"/>
    <xf numFmtId="0" fontId="1" fillId="0" borderId="4" xfId="0" applyFont="1" applyBorder="1"/>
    <xf numFmtId="0" fontId="0" fillId="0" borderId="0" xfId="0" applyFont="1"/>
    <xf numFmtId="0" fontId="0" fillId="0" borderId="0" xfId="0" applyFont="1" applyFill="1"/>
    <xf numFmtId="0" fontId="1" fillId="0" borderId="0" xfId="0" applyFont="1" applyBorder="1"/>
    <xf numFmtId="0" fontId="2" fillId="0" borderId="5" xfId="0" applyFont="1" applyBorder="1"/>
    <xf numFmtId="0" fontId="2" fillId="0" borderId="1" xfId="0" applyFont="1" applyBorder="1"/>
    <xf numFmtId="0" fontId="2" fillId="0" borderId="0" xfId="0" applyFont="1" applyBorder="1"/>
    <xf numFmtId="0" fontId="2" fillId="0" borderId="0" xfId="0" applyFont="1" applyFill="1" applyBorder="1"/>
    <xf numFmtId="0" fontId="2" fillId="0" borderId="3" xfId="0" applyFont="1" applyBorder="1"/>
    <xf numFmtId="0" fontId="2" fillId="0" borderId="10" xfId="0" applyFont="1" applyBorder="1"/>
    <xf numFmtId="0" fontId="8" fillId="0" borderId="5" xfId="0" applyFont="1" applyFill="1" applyBorder="1" applyAlignment="1">
      <alignment wrapText="1"/>
    </xf>
    <xf numFmtId="0" fontId="2" fillId="0" borderId="3" xfId="0" applyFont="1" applyFill="1" applyBorder="1"/>
    <xf numFmtId="0" fontId="2" fillId="0" borderId="0" xfId="8" applyFont="1" applyFill="1"/>
    <xf numFmtId="0" fontId="2" fillId="0" borderId="1" xfId="8" applyFont="1" applyFill="1" applyBorder="1"/>
    <xf numFmtId="0" fontId="2" fillId="0" borderId="3" xfId="8" applyFont="1" applyFill="1" applyBorder="1"/>
    <xf numFmtId="0" fontId="2" fillId="0" borderId="1" xfId="0" quotePrefix="1" applyFont="1" applyFill="1" applyBorder="1"/>
    <xf numFmtId="0" fontId="1" fillId="3" borderId="7" xfId="2" applyFont="1" applyBorder="1" applyAlignment="1">
      <alignment textRotation="90" wrapText="1"/>
    </xf>
    <xf numFmtId="0" fontId="1" fillId="3" borderId="8" xfId="2" applyFont="1" applyBorder="1" applyAlignment="1">
      <alignment textRotation="90" wrapText="1"/>
    </xf>
    <xf numFmtId="0" fontId="8" fillId="8" borderId="8" xfId="7" applyFont="1" applyBorder="1" applyAlignment="1">
      <alignment horizontal="left" textRotation="90" wrapText="1"/>
    </xf>
    <xf numFmtId="0" fontId="8" fillId="8" borderId="9" xfId="7" applyFont="1" applyBorder="1" applyAlignment="1">
      <alignment horizontal="left" textRotation="90" wrapText="1"/>
    </xf>
    <xf numFmtId="0" fontId="8" fillId="0" borderId="4" xfId="0" applyFont="1" applyBorder="1" applyAlignment="1">
      <alignment wrapText="1"/>
    </xf>
    <xf numFmtId="0" fontId="8" fillId="0" borderId="5" xfId="0" applyFont="1" applyBorder="1" applyAlignment="1">
      <alignment wrapText="1"/>
    </xf>
    <xf numFmtId="0" fontId="8" fillId="3" borderId="7" xfId="2" applyFont="1" applyBorder="1" applyAlignment="1">
      <alignment textRotation="90" wrapText="1"/>
    </xf>
    <xf numFmtId="0" fontId="8" fillId="3" borderId="8" xfId="2" applyFont="1" applyBorder="1" applyAlignment="1">
      <alignment textRotation="90" wrapText="1"/>
    </xf>
    <xf numFmtId="0" fontId="8" fillId="3" borderId="9" xfId="2" applyFont="1" applyBorder="1" applyAlignment="1">
      <alignment textRotation="90" wrapText="1"/>
    </xf>
    <xf numFmtId="0" fontId="8" fillId="17" borderId="4" xfId="0" applyFont="1" applyFill="1" applyBorder="1" applyAlignment="1">
      <alignment horizontal="left" textRotation="90" wrapText="1"/>
    </xf>
    <xf numFmtId="0" fontId="8" fillId="8" borderId="7" xfId="7" applyFont="1" applyBorder="1" applyAlignment="1">
      <alignment horizontal="left" textRotation="90" wrapText="1"/>
    </xf>
    <xf numFmtId="0" fontId="8" fillId="6" borderId="5" xfId="5" applyFont="1" applyBorder="1" applyAlignment="1">
      <alignment horizontal="left" textRotation="90" wrapText="1"/>
    </xf>
    <xf numFmtId="0" fontId="8" fillId="6" borderId="4" xfId="5" applyFont="1" applyBorder="1" applyAlignment="1">
      <alignment horizontal="left" textRotation="90" wrapText="1"/>
    </xf>
    <xf numFmtId="0" fontId="8" fillId="7" borderId="5" xfId="6" applyFont="1" applyBorder="1" applyAlignment="1">
      <alignment horizontal="left" textRotation="90" wrapText="1"/>
    </xf>
    <xf numFmtId="0" fontId="8" fillId="7" borderId="4" xfId="6" applyFont="1" applyBorder="1" applyAlignment="1">
      <alignment horizontal="left" textRotation="90" wrapText="1"/>
    </xf>
    <xf numFmtId="0" fontId="8" fillId="4" borderId="5" xfId="3" applyFont="1" applyBorder="1" applyAlignment="1">
      <alignment horizontal="left" textRotation="90" wrapText="1"/>
    </xf>
    <xf numFmtId="0" fontId="8" fillId="4" borderId="4" xfId="3" applyFont="1" applyBorder="1" applyAlignment="1">
      <alignment horizontal="left" textRotation="90" wrapText="1"/>
    </xf>
    <xf numFmtId="0" fontId="8" fillId="5" borderId="5" xfId="4" applyFont="1" applyBorder="1" applyAlignment="1">
      <alignment horizontal="left" textRotation="90" wrapText="1"/>
    </xf>
    <xf numFmtId="0" fontId="8" fillId="5" borderId="4" xfId="4" applyFont="1" applyBorder="1" applyAlignment="1">
      <alignment horizontal="left" textRotation="90" wrapText="1"/>
    </xf>
    <xf numFmtId="0" fontId="8" fillId="0" borderId="0" xfId="0" applyFont="1" applyAlignment="1">
      <alignment wrapText="1"/>
    </xf>
    <xf numFmtId="0" fontId="8" fillId="2" borderId="0" xfId="1" applyFont="1" applyBorder="1" applyAlignment="1">
      <alignment wrapText="1"/>
    </xf>
    <xf numFmtId="0" fontId="6" fillId="2" borderId="4" xfId="1" applyFont="1" applyBorder="1" applyAlignment="1">
      <alignment textRotation="90" wrapText="1"/>
    </xf>
    <xf numFmtId="0" fontId="1" fillId="6" borderId="7" xfId="5" applyFont="1" applyBorder="1" applyAlignment="1">
      <alignment horizontal="left" textRotation="90" wrapText="1"/>
    </xf>
    <xf numFmtId="0" fontId="8" fillId="2" borderId="5" xfId="1" applyFont="1" applyBorder="1" applyAlignment="1">
      <alignment horizontal="left" wrapText="1"/>
    </xf>
    <xf numFmtId="0" fontId="8" fillId="8" borderId="5" xfId="7" applyFont="1" applyBorder="1" applyAlignment="1">
      <alignment horizontal="left"/>
    </xf>
    <xf numFmtId="0" fontId="8" fillId="2" borderId="10" xfId="1" applyFont="1" applyBorder="1" applyAlignment="1">
      <alignment horizontal="left" wrapText="1"/>
    </xf>
    <xf numFmtId="0" fontId="8" fillId="2" borderId="4" xfId="1" applyFont="1" applyBorder="1" applyAlignment="1">
      <alignment horizontal="left" wrapText="1"/>
    </xf>
    <xf numFmtId="0" fontId="8" fillId="0" borderId="0" xfId="0" applyFont="1"/>
    <xf numFmtId="0" fontId="8" fillId="3" borderId="4" xfId="2" applyFont="1" applyBorder="1" applyAlignment="1">
      <alignment wrapText="1"/>
    </xf>
    <xf numFmtId="0" fontId="2" fillId="0" borderId="0" xfId="2" applyFont="1" applyFill="1" applyBorder="1" applyAlignment="1">
      <alignment wrapText="1"/>
    </xf>
    <xf numFmtId="0" fontId="2" fillId="0" borderId="13" xfId="0" applyFont="1" applyBorder="1"/>
    <xf numFmtId="0" fontId="2" fillId="0" borderId="4" xfId="2" applyFont="1" applyFill="1" applyBorder="1" applyAlignment="1">
      <alignment wrapText="1"/>
    </xf>
    <xf numFmtId="0" fontId="2" fillId="0" borderId="16" xfId="0" applyFont="1" applyBorder="1"/>
    <xf numFmtId="0" fontId="8" fillId="0" borderId="0" xfId="0" applyFont="1" applyAlignment="1">
      <alignment horizontal="left"/>
    </xf>
    <xf numFmtId="0" fontId="8" fillId="3" borderId="3" xfId="2" applyFont="1" applyBorder="1" applyAlignment="1">
      <alignment wrapText="1"/>
    </xf>
    <xf numFmtId="0" fontId="8" fillId="0" borderId="0" xfId="0" applyFont="1" applyBorder="1" applyAlignment="1"/>
    <xf numFmtId="0" fontId="8" fillId="13" borderId="5" xfId="0" applyFont="1" applyFill="1" applyBorder="1" applyAlignment="1">
      <alignment horizontal="left"/>
    </xf>
    <xf numFmtId="0" fontId="8" fillId="13" borderId="10" xfId="0" applyFont="1" applyFill="1" applyBorder="1" applyAlignment="1">
      <alignment horizontal="left"/>
    </xf>
    <xf numFmtId="0" fontId="8" fillId="13" borderId="4" xfId="0" applyFont="1" applyFill="1" applyBorder="1" applyAlignment="1">
      <alignment horizontal="left"/>
    </xf>
    <xf numFmtId="0" fontId="2" fillId="0" borderId="0" xfId="0" applyFont="1" applyBorder="1" applyAlignment="1"/>
    <xf numFmtId="0" fontId="2" fillId="0" borderId="0" xfId="0" applyFont="1" applyAlignment="1">
      <alignment horizontal="left"/>
    </xf>
    <xf numFmtId="0" fontId="8" fillId="0" borderId="3" xfId="2" applyFont="1" applyFill="1" applyBorder="1" applyAlignment="1">
      <alignment wrapText="1"/>
    </xf>
    <xf numFmtId="0" fontId="8" fillId="0" borderId="10" xfId="2" applyFont="1" applyFill="1" applyBorder="1" applyAlignment="1">
      <alignment wrapText="1"/>
    </xf>
    <xf numFmtId="0" fontId="8" fillId="0" borderId="5" xfId="0" applyFont="1" applyBorder="1" applyAlignment="1">
      <alignment horizontal="left"/>
    </xf>
    <xf numFmtId="0" fontId="8" fillId="0" borderId="10" xfId="0" applyFont="1" applyBorder="1" applyAlignment="1">
      <alignment horizontal="left"/>
    </xf>
    <xf numFmtId="0" fontId="8" fillId="0" borderId="4" xfId="0" applyFont="1" applyBorder="1" applyAlignment="1">
      <alignment horizontal="left"/>
    </xf>
    <xf numFmtId="0" fontId="2" fillId="0" borderId="3" xfId="2" applyFont="1" applyFill="1" applyBorder="1" applyAlignment="1">
      <alignment wrapText="1"/>
    </xf>
    <xf numFmtId="0" fontId="8" fillId="0" borderId="0" xfId="2" applyFont="1" applyFill="1" applyBorder="1" applyAlignment="1">
      <alignment horizontal="left"/>
    </xf>
    <xf numFmtId="0" fontId="2" fillId="0" borderId="0" xfId="2" applyFont="1" applyFill="1" applyBorder="1" applyAlignment="1">
      <alignment horizontal="left" wrapText="1"/>
    </xf>
    <xf numFmtId="0" fontId="8" fillId="0" borderId="10" xfId="0" applyFont="1" applyBorder="1"/>
    <xf numFmtId="0" fontId="8" fillId="0" borderId="4" xfId="0" applyFont="1" applyBorder="1"/>
    <xf numFmtId="0" fontId="2" fillId="0" borderId="11" xfId="0" applyFont="1" applyBorder="1"/>
    <xf numFmtId="0" fontId="1" fillId="0" borderId="4" xfId="0" applyFont="1" applyBorder="1" applyAlignment="1">
      <alignment textRotation="90"/>
    </xf>
    <xf numFmtId="0" fontId="1" fillId="0" borderId="4" xfId="0" applyFont="1" applyFill="1" applyBorder="1" applyAlignment="1">
      <alignment textRotation="90"/>
    </xf>
    <xf numFmtId="0" fontId="0" fillId="0" borderId="12" xfId="0" applyFill="1" applyBorder="1"/>
    <xf numFmtId="0" fontId="0" fillId="0" borderId="0" xfId="0" applyBorder="1" applyAlignment="1">
      <alignment textRotation="90"/>
    </xf>
    <xf numFmtId="0" fontId="8" fillId="2" borderId="15" xfId="1" applyFont="1" applyBorder="1" applyAlignment="1">
      <alignment wrapText="1"/>
    </xf>
    <xf numFmtId="0" fontId="8" fillId="2" borderId="16" xfId="1" applyFont="1" applyBorder="1" applyAlignment="1">
      <alignment wrapText="1"/>
    </xf>
    <xf numFmtId="0" fontId="8" fillId="2" borderId="3" xfId="1" applyFont="1" applyBorder="1" applyAlignment="1">
      <alignment wrapText="1"/>
    </xf>
    <xf numFmtId="0" fontId="8" fillId="2" borderId="13" xfId="1" applyFont="1" applyBorder="1" applyAlignment="1">
      <alignment wrapText="1"/>
    </xf>
    <xf numFmtId="0" fontId="1" fillId="14" borderId="5" xfId="0" applyFont="1" applyFill="1" applyBorder="1"/>
    <xf numFmtId="0" fontId="1" fillId="14" borderId="4" xfId="0" applyFont="1" applyFill="1" applyBorder="1"/>
    <xf numFmtId="0" fontId="1" fillId="18" borderId="4" xfId="0" applyFont="1" applyFill="1" applyBorder="1"/>
    <xf numFmtId="0" fontId="1" fillId="19" borderId="4" xfId="0" applyFont="1" applyFill="1" applyBorder="1"/>
    <xf numFmtId="0" fontId="1" fillId="20" borderId="4" xfId="0" applyFont="1" applyFill="1" applyBorder="1"/>
    <xf numFmtId="0" fontId="1" fillId="12" borderId="5" xfId="0" applyFont="1" applyFill="1" applyBorder="1"/>
    <xf numFmtId="0" fontId="1" fillId="12" borderId="4" xfId="0" applyFont="1" applyFill="1" applyBorder="1"/>
    <xf numFmtId="0" fontId="1" fillId="11" borderId="4" xfId="0" applyFont="1" applyFill="1" applyBorder="1"/>
    <xf numFmtId="0" fontId="1" fillId="21" borderId="4" xfId="0" applyFont="1" applyFill="1" applyBorder="1"/>
    <xf numFmtId="0" fontId="1" fillId="22" borderId="4" xfId="0" applyFont="1" applyFill="1" applyBorder="1"/>
    <xf numFmtId="0" fontId="5" fillId="0" borderId="1" xfId="0" applyFont="1" applyBorder="1"/>
    <xf numFmtId="0" fontId="2" fillId="0" borderId="0" xfId="0" applyFont="1" applyFill="1" applyBorder="1" applyAlignment="1"/>
    <xf numFmtId="0" fontId="2" fillId="0" borderId="0" xfId="0" applyFont="1" applyFill="1" applyBorder="1" applyAlignment="1">
      <alignment horizontal="left"/>
    </xf>
    <xf numFmtId="0" fontId="8" fillId="0" borderId="0" xfId="0" applyFont="1" applyFill="1" applyBorder="1" applyAlignment="1"/>
    <xf numFmtId="0" fontId="0" fillId="0" borderId="0" xfId="0" applyFill="1" applyBorder="1" applyAlignment="1"/>
    <xf numFmtId="0" fontId="1" fillId="0" borderId="0" xfId="0" applyFont="1" applyFill="1" applyBorder="1" applyAlignment="1"/>
    <xf numFmtId="0" fontId="2" fillId="0" borderId="0" xfId="1" applyFont="1" applyFill="1" applyBorder="1" applyAlignment="1">
      <alignment horizontal="left" wrapText="1"/>
    </xf>
    <xf numFmtId="0" fontId="2" fillId="0" borderId="0" xfId="7" applyFont="1" applyFill="1" applyBorder="1" applyAlignment="1">
      <alignment horizontal="left"/>
    </xf>
    <xf numFmtId="0" fontId="0" fillId="0" borderId="0" xfId="0" applyFont="1" applyFill="1" applyBorder="1" applyAlignment="1"/>
    <xf numFmtId="0" fontId="2" fillId="0" borderId="0" xfId="2" applyFont="1" applyFill="1" applyBorder="1" applyAlignment="1"/>
    <xf numFmtId="0" fontId="2" fillId="0" borderId="0" xfId="1" applyFont="1" applyFill="1" applyBorder="1" applyAlignment="1">
      <alignment horizontal="left"/>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0" xfId="0" applyFont="1" applyFill="1" applyBorder="1" applyAlignment="1">
      <alignment wrapText="1"/>
    </xf>
    <xf numFmtId="0" fontId="2" fillId="0" borderId="0" xfId="0" applyFont="1" applyBorder="1" applyAlignment="1">
      <alignment wrapText="1"/>
    </xf>
    <xf numFmtId="0" fontId="8" fillId="0" borderId="3" xfId="0" applyFont="1" applyBorder="1"/>
    <xf numFmtId="0" fontId="0" fillId="0" borderId="1" xfId="0" applyBorder="1" applyAlignment="1">
      <alignment wrapText="1"/>
    </xf>
    <xf numFmtId="0" fontId="7" fillId="0" borderId="11" xfId="0" applyFont="1" applyBorder="1"/>
    <xf numFmtId="0" fontId="8" fillId="0" borderId="11" xfId="0" applyFont="1" applyBorder="1"/>
    <xf numFmtId="0" fontId="8" fillId="0" borderId="15" xfId="0" applyFont="1" applyBorder="1"/>
    <xf numFmtId="0" fontId="8" fillId="0" borderId="3" xfId="8" applyFont="1" applyFill="1" applyBorder="1" applyAlignment="1"/>
    <xf numFmtId="0" fontId="8" fillId="0" borderId="15" xfId="0" applyFont="1" applyFill="1" applyBorder="1" applyAlignment="1"/>
    <xf numFmtId="0" fontId="8" fillId="0" borderId="3" xfId="0" applyFont="1" applyFill="1" applyBorder="1" applyAlignment="1"/>
    <xf numFmtId="0" fontId="8" fillId="0" borderId="3" xfId="0" applyFont="1" applyFill="1" applyBorder="1"/>
    <xf numFmtId="0" fontId="8" fillId="0" borderId="1" xfId="0" applyFont="1" applyFill="1" applyBorder="1" applyAlignment="1">
      <alignment wrapText="1"/>
    </xf>
    <xf numFmtId="0" fontId="8" fillId="0" borderId="0" xfId="0" applyFont="1" applyFill="1" applyBorder="1" applyAlignment="1">
      <alignment wrapText="1"/>
    </xf>
    <xf numFmtId="0" fontId="8" fillId="0" borderId="0" xfId="0" applyFont="1" applyFill="1" applyAlignment="1">
      <alignment wrapText="1"/>
    </xf>
    <xf numFmtId="0" fontId="8" fillId="0" borderId="0" xfId="8" applyFont="1" applyFill="1" applyAlignment="1">
      <alignment wrapText="1"/>
    </xf>
    <xf numFmtId="0" fontId="8" fillId="2" borderId="4" xfId="1" applyFont="1" applyBorder="1" applyAlignment="1">
      <alignment horizontal="center" textRotation="90" wrapText="1"/>
    </xf>
    <xf numFmtId="0" fontId="8" fillId="2" borderId="5" xfId="1" applyFont="1" applyBorder="1" applyAlignment="1">
      <alignment horizontal="center" textRotation="90" wrapText="1"/>
    </xf>
    <xf numFmtId="0" fontId="0" fillId="0" borderId="0" xfId="0" applyAlignment="1">
      <alignment wrapText="1"/>
    </xf>
    <xf numFmtId="0" fontId="2" fillId="0" borderId="0" xfId="8" applyFont="1" applyFill="1" applyAlignment="1">
      <alignment wrapText="1"/>
    </xf>
    <xf numFmtId="0" fontId="2" fillId="0" borderId="13" xfId="0" applyFont="1" applyFill="1" applyBorder="1" applyAlignment="1">
      <alignment wrapText="1"/>
    </xf>
    <xf numFmtId="0" fontId="2" fillId="0" borderId="1" xfId="8" applyFont="1" applyFill="1" applyBorder="1" applyAlignment="1">
      <alignment wrapText="1"/>
    </xf>
    <xf numFmtId="0" fontId="0" fillId="0" borderId="0" xfId="0" applyFill="1" applyAlignment="1">
      <alignment textRotation="90"/>
    </xf>
    <xf numFmtId="0" fontId="8" fillId="2" borderId="7" xfId="1" applyFont="1" applyBorder="1" applyAlignment="1">
      <alignment horizontal="center" wrapText="1"/>
    </xf>
    <xf numFmtId="0" fontId="8" fillId="2" borderId="8" xfId="1" applyFont="1" applyBorder="1" applyAlignment="1">
      <alignment horizontal="center" wrapText="1"/>
    </xf>
    <xf numFmtId="0" fontId="8" fillId="2" borderId="9" xfId="1" applyFont="1" applyBorder="1" applyAlignment="1">
      <alignment horizontal="center" wrapText="1"/>
    </xf>
    <xf numFmtId="0" fontId="1" fillId="5" borderId="2" xfId="4" applyFont="1" applyBorder="1" applyAlignment="1">
      <alignment horizontal="center" wrapText="1"/>
    </xf>
    <xf numFmtId="0" fontId="8" fillId="3" borderId="11" xfId="2" applyFont="1" applyBorder="1" applyAlignment="1">
      <alignment horizontal="center" wrapText="1"/>
    </xf>
    <xf numFmtId="0" fontId="8" fillId="3" borderId="15" xfId="2" applyFont="1" applyBorder="1" applyAlignment="1">
      <alignment horizontal="center" wrapText="1"/>
    </xf>
    <xf numFmtId="0" fontId="1" fillId="7" borderId="2" xfId="6" applyFont="1" applyBorder="1" applyAlignment="1">
      <alignment horizontal="center" wrapText="1"/>
    </xf>
    <xf numFmtId="0" fontId="8" fillId="8" borderId="14" xfId="7" applyFont="1" applyBorder="1" applyAlignment="1">
      <alignment horizontal="center" wrapText="1"/>
    </xf>
    <xf numFmtId="0" fontId="8" fillId="8" borderId="12" xfId="7" applyFont="1" applyBorder="1" applyAlignment="1">
      <alignment horizontal="center" wrapText="1"/>
    </xf>
    <xf numFmtId="0" fontId="8" fillId="8" borderId="11" xfId="7" applyFont="1" applyBorder="1" applyAlignment="1">
      <alignment horizontal="center" wrapText="1"/>
    </xf>
    <xf numFmtId="0" fontId="8" fillId="17" borderId="7" xfId="0" applyFont="1" applyFill="1" applyBorder="1" applyAlignment="1">
      <alignment horizontal="center" wrapText="1"/>
    </xf>
    <xf numFmtId="0" fontId="8" fillId="17" borderId="8" xfId="0" applyFont="1" applyFill="1" applyBorder="1" applyAlignment="1">
      <alignment horizontal="center" wrapText="1"/>
    </xf>
    <xf numFmtId="0" fontId="8" fillId="17" borderId="9" xfId="0" applyFont="1" applyFill="1" applyBorder="1" applyAlignment="1">
      <alignment horizontal="center" wrapText="1"/>
    </xf>
    <xf numFmtId="0" fontId="1" fillId="9" borderId="7" xfId="4" applyFont="1" applyFill="1" applyBorder="1" applyAlignment="1">
      <alignment horizontal="center" wrapText="1"/>
    </xf>
    <xf numFmtId="0" fontId="1" fillId="9" borderId="8" xfId="4" applyFont="1" applyFill="1" applyBorder="1" applyAlignment="1">
      <alignment horizontal="center" wrapText="1"/>
    </xf>
    <xf numFmtId="0" fontId="1" fillId="9" borderId="9" xfId="4" applyFont="1" applyFill="1" applyBorder="1" applyAlignment="1">
      <alignment horizontal="center" wrapText="1"/>
    </xf>
    <xf numFmtId="0" fontId="1" fillId="3" borderId="14" xfId="2" applyFont="1" applyBorder="1" applyAlignment="1">
      <alignment horizontal="center" wrapText="1"/>
    </xf>
    <xf numFmtId="0" fontId="1" fillId="3" borderId="12" xfId="2" applyFont="1" applyBorder="1" applyAlignment="1">
      <alignment horizontal="center" wrapText="1"/>
    </xf>
    <xf numFmtId="0" fontId="1" fillId="3" borderId="11" xfId="2" applyFont="1" applyBorder="1" applyAlignment="1">
      <alignment horizontal="center" wrapText="1"/>
    </xf>
    <xf numFmtId="0" fontId="8" fillId="2" borderId="4" xfId="1" applyFont="1" applyBorder="1" applyAlignment="1">
      <alignment horizontal="left"/>
    </xf>
    <xf numFmtId="0" fontId="8" fillId="2" borderId="10" xfId="1" applyFont="1" applyBorder="1" applyAlignment="1">
      <alignment horizontal="left"/>
    </xf>
    <xf numFmtId="0" fontId="8" fillId="13" borderId="5" xfId="0" applyFont="1" applyFill="1" applyBorder="1" applyAlignment="1">
      <alignment horizontal="left"/>
    </xf>
    <xf numFmtId="0" fontId="8" fillId="13" borderId="10" xfId="0" applyFont="1" applyFill="1" applyBorder="1" applyAlignment="1">
      <alignment horizontal="left"/>
    </xf>
    <xf numFmtId="0" fontId="8" fillId="13" borderId="4" xfId="0" applyFont="1" applyFill="1" applyBorder="1" applyAlignment="1">
      <alignment horizontal="left"/>
    </xf>
    <xf numFmtId="0" fontId="8" fillId="0" borderId="5" xfId="0" applyFont="1" applyBorder="1" applyAlignment="1">
      <alignment horizontal="left"/>
    </xf>
    <xf numFmtId="0" fontId="8" fillId="0" borderId="10" xfId="0" applyFont="1" applyBorder="1" applyAlignment="1">
      <alignment horizontal="left"/>
    </xf>
    <xf numFmtId="0" fontId="8" fillId="0" borderId="4" xfId="0" applyFont="1" applyBorder="1" applyAlignment="1">
      <alignment horizontal="left"/>
    </xf>
    <xf numFmtId="0" fontId="1" fillId="10" borderId="7" xfId="0" applyFont="1" applyFill="1" applyBorder="1" applyAlignment="1">
      <alignment horizontal="center"/>
    </xf>
    <xf numFmtId="0" fontId="1" fillId="10" borderId="8" xfId="0" applyFont="1" applyFill="1" applyBorder="1" applyAlignment="1">
      <alignment horizontal="center"/>
    </xf>
    <xf numFmtId="0" fontId="1" fillId="13" borderId="7" xfId="0" applyFont="1" applyFill="1" applyBorder="1" applyAlignment="1">
      <alignment horizontal="center"/>
    </xf>
    <xf numFmtId="0" fontId="1" fillId="13" borderId="8" xfId="0" applyFont="1" applyFill="1" applyBorder="1" applyAlignment="1">
      <alignment horizontal="center"/>
    </xf>
    <xf numFmtId="0" fontId="1" fillId="13" borderId="9" xfId="0" applyFont="1" applyFill="1" applyBorder="1" applyAlignment="1">
      <alignment horizontal="center"/>
    </xf>
    <xf numFmtId="0" fontId="1" fillId="13" borderId="4" xfId="0" applyFont="1" applyFill="1" applyBorder="1" applyAlignment="1">
      <alignment horizontal="center"/>
    </xf>
    <xf numFmtId="0" fontId="1" fillId="10" borderId="5" xfId="0" applyFont="1" applyFill="1" applyBorder="1" applyAlignment="1">
      <alignment horizontal="center"/>
    </xf>
    <xf numFmtId="0" fontId="1" fillId="10" borderId="4" xfId="0" applyFont="1" applyFill="1" applyBorder="1" applyAlignment="1">
      <alignment horizontal="center"/>
    </xf>
    <xf numFmtId="0" fontId="1" fillId="10" borderId="10" xfId="0" applyFont="1" applyFill="1" applyBorder="1" applyAlignment="1">
      <alignment horizontal="center"/>
    </xf>
    <xf numFmtId="0" fontId="1" fillId="18" borderId="0" xfId="0" applyFont="1" applyFill="1" applyAlignment="1">
      <alignment horizontal="center"/>
    </xf>
    <xf numFmtId="0" fontId="1" fillId="18" borderId="0" xfId="0" applyFont="1" applyFill="1" applyBorder="1" applyAlignment="1">
      <alignment horizontal="center"/>
    </xf>
    <xf numFmtId="0" fontId="1" fillId="11" borderId="14" xfId="0" applyFont="1" applyFill="1" applyBorder="1" applyAlignment="1">
      <alignment horizontal="center"/>
    </xf>
    <xf numFmtId="0" fontId="1" fillId="11" borderId="12" xfId="0" applyFont="1" applyFill="1" applyBorder="1" applyAlignment="1">
      <alignment horizontal="center"/>
    </xf>
    <xf numFmtId="0" fontId="1" fillId="14" borderId="1" xfId="0" applyFont="1" applyFill="1" applyBorder="1" applyAlignment="1">
      <alignment horizontal="center"/>
    </xf>
    <xf numFmtId="0" fontId="1" fillId="14" borderId="0" xfId="0" applyFont="1" applyFill="1" applyAlignment="1">
      <alignment horizontal="center"/>
    </xf>
    <xf numFmtId="0" fontId="1" fillId="19" borderId="0" xfId="0" applyFont="1" applyFill="1" applyAlignment="1">
      <alignment horizontal="center"/>
    </xf>
    <xf numFmtId="0" fontId="1" fillId="20" borderId="0" xfId="0" applyFont="1" applyFill="1" applyAlignment="1">
      <alignment horizontal="center"/>
    </xf>
    <xf numFmtId="0" fontId="1" fillId="20" borderId="0" xfId="0" applyFont="1" applyFill="1" applyBorder="1" applyAlignment="1">
      <alignment horizontal="center"/>
    </xf>
    <xf numFmtId="0" fontId="1" fillId="12" borderId="1" xfId="0" applyFont="1" applyFill="1" applyBorder="1" applyAlignment="1">
      <alignment horizontal="center"/>
    </xf>
    <xf numFmtId="0" fontId="1" fillId="12" borderId="0" xfId="0" applyFont="1" applyFill="1" applyBorder="1" applyAlignment="1">
      <alignment horizontal="center"/>
    </xf>
    <xf numFmtId="0" fontId="1" fillId="11" borderId="0" xfId="0" applyFont="1" applyFill="1" applyBorder="1" applyAlignment="1">
      <alignment horizontal="center"/>
    </xf>
    <xf numFmtId="0" fontId="1" fillId="21" borderId="0" xfId="0" applyFont="1" applyFill="1" applyBorder="1" applyAlignment="1">
      <alignment horizontal="center"/>
    </xf>
    <xf numFmtId="0" fontId="1" fillId="22" borderId="0" xfId="0" applyFont="1" applyFill="1" applyBorder="1" applyAlignment="1">
      <alignment horizontal="center"/>
    </xf>
  </cellXfs>
  <cellStyles count="9">
    <cellStyle name="20% - Accent1" xfId="2" builtinId="30"/>
    <cellStyle name="20% - Accent3" xfId="3" builtinId="38"/>
    <cellStyle name="20% - Accent4" xfId="5" builtinId="42"/>
    <cellStyle name="20% - Accent6" xfId="7" builtinId="50"/>
    <cellStyle name="40% - Accent3" xfId="4" builtinId="39"/>
    <cellStyle name="40% - Accent4" xfId="6" builtinId="43"/>
    <cellStyle name="Bad" xfId="8" builtinId="27"/>
    <cellStyle name="Input" xfId="1" builtinId="20"/>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FF"/>
      <color rgb="FFFFDDFF"/>
      <color rgb="FFF2F8EE"/>
      <color rgb="FFEDF1F9"/>
      <color rgb="FFFF60B0"/>
      <color rgb="FFDB64FF"/>
      <color rgb="FFD5B9FF"/>
      <color rgb="FFB9FFFB"/>
      <color rgb="FF5CFFB9"/>
      <color rgb="FFD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iencedirect.com/science/article/pii/S030192681500272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71"/>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8.81640625" defaultRowHeight="14.5" x14ac:dyDescent="0.35"/>
  <cols>
    <col min="1" max="1" width="20.81640625" style="29" customWidth="1"/>
    <col min="2" max="2" width="21.81640625" style="27" customWidth="1"/>
    <col min="3" max="3" width="2.81640625" style="27" customWidth="1"/>
    <col min="4" max="4" width="2.81640625" style="152" customWidth="1"/>
    <col min="5" max="7" width="2.81640625" style="28" customWidth="1"/>
    <col min="8" max="10" width="2.81640625" style="29" customWidth="1"/>
    <col min="11" max="12" width="2.81640625" style="28" customWidth="1"/>
    <col min="13" max="13" width="2.81640625" style="13" customWidth="1"/>
    <col min="14" max="14" width="2.81640625" style="28" customWidth="1"/>
    <col min="15" max="16" width="2.81640625" style="13" customWidth="1"/>
    <col min="17" max="28" width="2.81640625" style="28" customWidth="1"/>
    <col min="29" max="29" width="2.81640625" style="13" customWidth="1"/>
    <col min="30" max="33" width="2.81640625" style="28" customWidth="1"/>
    <col min="34" max="34" width="2.81640625" style="27" customWidth="1"/>
    <col min="35" max="38" width="2.81640625" style="29" customWidth="1"/>
    <col min="39" max="39" width="2.81640625" style="30" customWidth="1"/>
    <col min="40" max="40" width="2.81640625" style="150" customWidth="1"/>
    <col min="41" max="44" width="2.81640625" style="31" customWidth="1"/>
    <col min="45" max="45" width="2.81640625" style="30" customWidth="1"/>
    <col min="46" max="52" width="2.81640625" style="31" customWidth="1"/>
    <col min="53" max="53" width="2.81640625" style="30" customWidth="1"/>
    <col min="54" max="61" width="2.81640625" style="31" customWidth="1"/>
    <col min="62" max="62" width="2.81640625" style="30" customWidth="1"/>
    <col min="63" max="63" width="2.81640625" style="31" customWidth="1"/>
    <col min="64" max="64" width="2.81640625" style="30" customWidth="1"/>
    <col min="65" max="72" width="2.81640625" style="31" customWidth="1"/>
    <col min="73" max="73" width="2.81640625" style="30" customWidth="1"/>
    <col min="74" max="74" width="2.81640625" style="31" customWidth="1"/>
    <col min="75" max="75" width="39.81640625" style="3" customWidth="1"/>
    <col min="76" max="16384" width="8.81640625" style="29"/>
  </cols>
  <sheetData>
    <row r="1" spans="1:76" ht="14.5" customHeight="1" x14ac:dyDescent="0.35">
      <c r="C1" s="173" t="s">
        <v>171</v>
      </c>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5"/>
      <c r="AH1" s="177" t="s">
        <v>164</v>
      </c>
      <c r="AI1" s="178"/>
      <c r="AJ1" s="178"/>
      <c r="AK1" s="178"/>
      <c r="AL1" s="178"/>
      <c r="AM1" s="183" t="s">
        <v>165</v>
      </c>
      <c r="AN1" s="184"/>
      <c r="AO1" s="184"/>
      <c r="AP1" s="184"/>
      <c r="AQ1" s="184"/>
      <c r="AR1" s="185"/>
      <c r="AS1" s="180" t="s">
        <v>169</v>
      </c>
      <c r="AT1" s="181"/>
      <c r="AU1" s="181"/>
      <c r="AV1" s="181"/>
      <c r="AW1" s="181"/>
      <c r="AX1" s="181"/>
      <c r="AY1" s="181"/>
      <c r="AZ1" s="182"/>
      <c r="BA1" s="179" t="s">
        <v>423</v>
      </c>
      <c r="BB1" s="179"/>
      <c r="BC1" s="179"/>
      <c r="BD1" s="179"/>
      <c r="BE1" s="179"/>
      <c r="BF1" s="179"/>
      <c r="BG1" s="179"/>
      <c r="BH1" s="179"/>
      <c r="BI1" s="179"/>
      <c r="BJ1" s="179"/>
      <c r="BK1" s="179"/>
      <c r="BL1" s="176" t="s">
        <v>411</v>
      </c>
      <c r="BM1" s="176"/>
      <c r="BN1" s="176"/>
      <c r="BO1" s="176"/>
      <c r="BP1" s="176"/>
      <c r="BQ1" s="176"/>
      <c r="BR1" s="176"/>
      <c r="BS1" s="176"/>
      <c r="BT1" s="176"/>
      <c r="BU1" s="176"/>
      <c r="BV1" s="176"/>
    </row>
    <row r="2" spans="1:76" s="87" customFormat="1" ht="294.75" customHeight="1" x14ac:dyDescent="0.35">
      <c r="A2" s="72" t="s">
        <v>167</v>
      </c>
      <c r="B2" s="73" t="s">
        <v>168</v>
      </c>
      <c r="C2" s="167" t="s">
        <v>460</v>
      </c>
      <c r="D2" s="166" t="s">
        <v>461</v>
      </c>
      <c r="E2" s="166" t="s">
        <v>462</v>
      </c>
      <c r="F2" s="166" t="s">
        <v>463</v>
      </c>
      <c r="G2" s="166" t="s">
        <v>464</v>
      </c>
      <c r="H2" s="166" t="s">
        <v>465</v>
      </c>
      <c r="I2" s="166" t="s">
        <v>466</v>
      </c>
      <c r="J2" s="166" t="s">
        <v>467</v>
      </c>
      <c r="K2" s="166" t="s">
        <v>544</v>
      </c>
      <c r="L2" s="166" t="s">
        <v>468</v>
      </c>
      <c r="M2" s="166" t="s">
        <v>469</v>
      </c>
      <c r="N2" s="166" t="s">
        <v>470</v>
      </c>
      <c r="O2" s="166" t="s">
        <v>471</v>
      </c>
      <c r="P2" s="166" t="s">
        <v>472</v>
      </c>
      <c r="Q2" s="166" t="s">
        <v>489</v>
      </c>
      <c r="R2" s="166" t="s">
        <v>473</v>
      </c>
      <c r="S2" s="166" t="s">
        <v>474</v>
      </c>
      <c r="T2" s="166" t="s">
        <v>475</v>
      </c>
      <c r="U2" s="166" t="s">
        <v>476</v>
      </c>
      <c r="V2" s="166" t="s">
        <v>477</v>
      </c>
      <c r="W2" s="166" t="s">
        <v>478</v>
      </c>
      <c r="X2" s="166" t="s">
        <v>488</v>
      </c>
      <c r="Y2" s="166" t="s">
        <v>479</v>
      </c>
      <c r="Z2" s="166" t="s">
        <v>480</v>
      </c>
      <c r="AA2" s="166" t="s">
        <v>481</v>
      </c>
      <c r="AB2" s="166" t="s">
        <v>482</v>
      </c>
      <c r="AC2" s="166" t="s">
        <v>483</v>
      </c>
      <c r="AD2" s="166" t="s">
        <v>484</v>
      </c>
      <c r="AE2" s="166" t="s">
        <v>485</v>
      </c>
      <c r="AF2" s="166" t="s">
        <v>486</v>
      </c>
      <c r="AG2" s="166" t="s">
        <v>487</v>
      </c>
      <c r="AH2" s="74">
        <v>-581</v>
      </c>
      <c r="AI2" s="75" t="s">
        <v>0</v>
      </c>
      <c r="AJ2" s="75" t="s">
        <v>1</v>
      </c>
      <c r="AK2" s="75" t="s">
        <v>2</v>
      </c>
      <c r="AL2" s="76" t="s">
        <v>331</v>
      </c>
      <c r="AM2" s="77" t="s">
        <v>491</v>
      </c>
      <c r="AN2" s="77" t="s">
        <v>434</v>
      </c>
      <c r="AO2" s="77" t="s">
        <v>3</v>
      </c>
      <c r="AP2" s="77" t="s">
        <v>330</v>
      </c>
      <c r="AQ2" s="77" t="s">
        <v>4</v>
      </c>
      <c r="AR2" s="77" t="s">
        <v>332</v>
      </c>
      <c r="AS2" s="78" t="s">
        <v>12</v>
      </c>
      <c r="AT2" s="70" t="s">
        <v>173</v>
      </c>
      <c r="AU2" s="70" t="s">
        <v>217</v>
      </c>
      <c r="AV2" s="70" t="s">
        <v>232</v>
      </c>
      <c r="AW2" s="70" t="s">
        <v>218</v>
      </c>
      <c r="AX2" s="70" t="s">
        <v>54</v>
      </c>
      <c r="AY2" s="70" t="s">
        <v>14</v>
      </c>
      <c r="AZ2" s="71" t="s">
        <v>227</v>
      </c>
      <c r="BA2" s="79" t="s">
        <v>299</v>
      </c>
      <c r="BB2" s="80" t="s">
        <v>298</v>
      </c>
      <c r="BC2" s="80" t="s">
        <v>297</v>
      </c>
      <c r="BD2" s="80" t="s">
        <v>296</v>
      </c>
      <c r="BE2" s="80" t="s">
        <v>295</v>
      </c>
      <c r="BF2" s="80" t="s">
        <v>294</v>
      </c>
      <c r="BG2" s="80" t="s">
        <v>292</v>
      </c>
      <c r="BH2" s="80" t="s">
        <v>293</v>
      </c>
      <c r="BI2" s="80" t="s">
        <v>291</v>
      </c>
      <c r="BJ2" s="81" t="s">
        <v>215</v>
      </c>
      <c r="BK2" s="82" t="s">
        <v>216</v>
      </c>
      <c r="BL2" s="83" t="s">
        <v>299</v>
      </c>
      <c r="BM2" s="84" t="s">
        <v>298</v>
      </c>
      <c r="BN2" s="84" t="s">
        <v>297</v>
      </c>
      <c r="BO2" s="84" t="s">
        <v>296</v>
      </c>
      <c r="BP2" s="84" t="s">
        <v>295</v>
      </c>
      <c r="BQ2" s="84" t="s">
        <v>294</v>
      </c>
      <c r="BR2" s="84" t="s">
        <v>292</v>
      </c>
      <c r="BS2" s="84" t="s">
        <v>293</v>
      </c>
      <c r="BT2" s="84" t="s">
        <v>291</v>
      </c>
      <c r="BU2" s="85" t="s">
        <v>215</v>
      </c>
      <c r="BV2" s="86" t="s">
        <v>216</v>
      </c>
      <c r="BW2" s="62" t="s">
        <v>166</v>
      </c>
    </row>
    <row r="3" spans="1:76" ht="29" x14ac:dyDescent="0.35">
      <c r="A3" s="11" t="s">
        <v>5</v>
      </c>
      <c r="B3" s="3" t="s">
        <v>6</v>
      </c>
      <c r="C3" s="12" t="s">
        <v>7</v>
      </c>
      <c r="D3" s="59"/>
      <c r="E3" s="13"/>
      <c r="F3" s="13"/>
      <c r="G3" s="13"/>
      <c r="H3" s="13" t="s">
        <v>7</v>
      </c>
      <c r="I3" s="13"/>
      <c r="J3" s="13"/>
      <c r="K3" s="13"/>
      <c r="L3" s="13"/>
      <c r="N3" s="13"/>
      <c r="Q3" s="13"/>
      <c r="R3" s="13"/>
      <c r="S3" s="13"/>
      <c r="V3" s="13"/>
      <c r="W3" s="13"/>
      <c r="X3" s="13"/>
      <c r="Y3" s="13"/>
      <c r="Z3" s="13"/>
      <c r="AA3" s="13"/>
      <c r="AB3" s="13"/>
      <c r="AD3" s="13"/>
      <c r="AE3" s="13"/>
      <c r="AF3" s="13"/>
      <c r="AG3" s="13"/>
      <c r="AH3" s="12"/>
      <c r="AI3" s="13"/>
      <c r="AJ3" s="14"/>
      <c r="AK3" s="13" t="s">
        <v>7</v>
      </c>
      <c r="AL3" s="13"/>
      <c r="AM3" s="15"/>
      <c r="AN3" s="149"/>
      <c r="AO3" s="14"/>
      <c r="AP3" s="14"/>
      <c r="AQ3" s="14" t="s">
        <v>7</v>
      </c>
      <c r="AR3" s="14"/>
      <c r="AS3" s="15"/>
      <c r="AT3" s="14"/>
      <c r="AU3" s="14" t="s">
        <v>7</v>
      </c>
      <c r="AV3" s="14"/>
      <c r="AW3" s="14"/>
      <c r="AX3" s="14"/>
      <c r="AY3" s="14"/>
      <c r="AZ3" s="14"/>
      <c r="BC3" s="31" t="str">
        <f t="shared" ref="BC3" si="0">IF((OR(NOT(ISBLANK(P3)), NOT(ISBLANK(Z3)), NOT(ISBLANK(AB3)), NOT(ISBLANK(AC3)), NOT(ISBLANK(AD3)))),"Y","")</f>
        <v/>
      </c>
      <c r="BD3" s="31" t="str">
        <f t="shared" ref="BD3" si="1">IF((NOT(ISBLANK(W3))),"Y","")</f>
        <v/>
      </c>
      <c r="BE3" s="31" t="str">
        <f>IF((NOT(ISBLANK(AA3))),"Y","")</f>
        <v/>
      </c>
      <c r="BF3" s="31" t="str">
        <f t="shared" ref="BF3" si="2">IF((OR(NOT(ISBLANK(R3)), NOT(ISBLANK(Y3)), NOT(ISBLANK(AF3)))),"Y","")</f>
        <v/>
      </c>
      <c r="BG3" s="31" t="str">
        <f>IF((OR(NOT(ISBLANK(C3)), NOT(ISBLANK(L3)), NOT(ISBLANK(X3)), NOT(ISBLANK(AG3)))),"Y","")</f>
        <v>Y</v>
      </c>
      <c r="BH3" s="31" t="str">
        <f>IF((OR(NOT(ISBLANK(D3)), NOT(ISBLANK(E3)), NOT(ISBLANK(F3)), NOT(ISBLANK(J3)), NOT(ISBLANK(K3)), NOT(ISBLANK(M3)), NOT(ISBLANK(Q3)), NOT(ISBLANK(U3)), NOT(ISBLANK(V3)))),"Y","")</f>
        <v/>
      </c>
      <c r="BI3" s="31" t="str">
        <f>IF((OR(NOT(ISBLANK(G3)),  NOT(ISBLANK(H3)), NOT(ISBLANK(I3)), NOT(ISBLANK(N3)), NOT(ISBLANK(O3)), NOT(ISBLANK(T3)), NOT(ISBLANK(S3)), NOT(ISBLANK(AE3)))),"Y","")</f>
        <v>Y</v>
      </c>
      <c r="BJ3" s="30" t="str">
        <f t="shared" ref="BJ3" si="3">IF((OR(NOT(ISBLANK(P3)), NOT(ISBLANK(W3)), NOT(ISBLANK(Z3)), NOT(ISBLANK(AB3)), NOT(ISBLANK(AC3)), NOT(ISBLANK(AD3)))),"Y","")</f>
        <v/>
      </c>
      <c r="BK3" s="31" t="str">
        <f>IF((OR(NOT(ISBLANK(C3)), NOT(ISBLANK(D3)), NOT(ISBLANK(E3)), NOT(ISBLANK(F3)), NOT(ISBLANK(G3)),  NOT(ISBLANK(H3)), NOT(ISBLANK(I3)), NOT(ISBLANK(J3)), NOT(ISBLANK(K3)), NOT(ISBLANK(L3)), NOT(ISBLANK(M3)), NOT(ISBLANK(N3)), NOT(ISBLANK(O3)), NOT(ISBLANK(Q3)), NOT(ISBLANK(R3)), NOT(ISBLANK(S3)), NOT(ISBLANK(T3)), NOT(ISBLANK(U3)), NOT(ISBLANK(V3)), NOT(ISBLANK(X3)), NOT(ISBLANK(Y3)), NOT(ISBLANK(AA3)), NOT(ISBLANK(AE3)), NOT(ISBLANK(AF3)), NOT(ISBLANK(AG3)))),"Y","")</f>
        <v>Y</v>
      </c>
      <c r="BL3" s="30" t="str">
        <f t="shared" ref="BL3" si="4">IF((NOT(ISBLANK(P3))),"Y","")</f>
        <v/>
      </c>
      <c r="BM3" s="31" t="str">
        <f>IF((OR(NOT(ISBLANK(D3)), NOT(ISBLANK(AC3)), NOT(ISBLANK(AD3)))),"Y","")</f>
        <v/>
      </c>
      <c r="BN3" s="31" t="str">
        <f>IF((OR(NOT(ISBLANK(E3)), NOT(ISBLANK(L3)), NOT(ISBLANK(Z3)))),"Y","")</f>
        <v/>
      </c>
      <c r="BO3" s="31" t="str">
        <f t="shared" ref="BO3" si="5">IF((OR(NOT(ISBLANK(C3)), NOT(ISBLANK(AG3)))),"Y","")</f>
        <v>Y</v>
      </c>
      <c r="BP3" s="31" t="str">
        <f t="shared" ref="BP3" si="6">IF((OR(NOT(ISBLANK(W3)), NOT(ISBLANK(AA3)), NOT(ISBLANK(AB3)))),"Y","")</f>
        <v/>
      </c>
      <c r="BQ3" s="31" t="str">
        <f>IF((OR(NOT(ISBLANK(G3)), NOT(ISBLANK(N3)), NOT(ISBLANK(S3)), NOT(ISBLANK(T3)), NOT(ISBLANK(U3)), NOT(ISBLANK(V3)))),"Y","")</f>
        <v/>
      </c>
      <c r="BR3" s="31" t="str">
        <f t="shared" ref="BR3" si="7">IF((OR(NOT(ISBLANK(F3)),  NOT(ISBLANK(J3)), NOT(ISBLANK(K3)), NOT(ISBLANK(M3)), NOT(ISBLANK(O3)))),"Y","")</f>
        <v/>
      </c>
      <c r="BS3" s="31" t="str">
        <f t="shared" ref="BS3" si="8">IF((OR(NOT(ISBLANK(H3)), NOT(ISBLANK(I3)), NOT(ISBLANK(Q3)), NOT(ISBLANK(Y3)), NOT(ISBLANK(AF3)))),"Y","")</f>
        <v>Y</v>
      </c>
      <c r="BT3" s="31" t="str">
        <f t="shared" ref="BT3" si="9">IF((OR(NOT(ISBLANK(R3)), NOT(ISBLANK(X3)), NOT(ISBLANK(AE3)))),"Y","")</f>
        <v/>
      </c>
      <c r="BU3" s="30" t="str">
        <f>IF((OR(NOT(ISBLANK(C3)), NOT(ISBLANK(D3)), NOT(ISBLANK(E3)), NOT(ISBLANK(L3)), NOT(ISBLANK(P3)), NOT(ISBLANK(Z3)), NOT(ISBLANK(AA3)), NOT(ISBLANK(AC3)), NOT(ISBLANK(AD3)), NOT(ISBLANK(AG3)))),"Y","")</f>
        <v>Y</v>
      </c>
      <c r="BV3" s="39" t="str">
        <f>IF((OR(NOT(ISBLANK(F3)), NOT(ISBLANK(G3)),  NOT(ISBLANK(H3)), NOT(ISBLANK(I3)), NOT(ISBLANK(J3)), NOT(ISBLANK(K3)), NOT(ISBLANK(M3)), NOT(ISBLANK(N3)), NOT(ISBLANK(O3)), NOT(ISBLANK(Q3)), NOT(ISBLANK(R3)), NOT(ISBLANK(S3)), NOT(ISBLANK(T3)), NOT(ISBLANK(U3)), NOT(ISBLANK(V3)), NOT(ISBLANK(W3)), NOT(ISBLANK(X3)), NOT(ISBLANK(Y3)), NOT(ISBLANK(AB3)), NOT(ISBLANK(AE3)), NOT(ISBLANK(AF3)))),"Y","")</f>
        <v>Y</v>
      </c>
      <c r="BW3" s="3" t="s">
        <v>338</v>
      </c>
    </row>
    <row r="4" spans="1:76" ht="29" x14ac:dyDescent="0.35">
      <c r="A4" s="11" t="s">
        <v>8</v>
      </c>
      <c r="B4" s="3" t="s">
        <v>9</v>
      </c>
      <c r="C4" s="12" t="s">
        <v>7</v>
      </c>
      <c r="D4" s="59"/>
      <c r="E4" s="13"/>
      <c r="F4" s="13"/>
      <c r="G4" s="13"/>
      <c r="H4" s="13" t="s">
        <v>7</v>
      </c>
      <c r="I4" s="13"/>
      <c r="J4" s="13"/>
      <c r="K4" s="13"/>
      <c r="L4" s="13"/>
      <c r="N4" s="13"/>
      <c r="Q4" s="13"/>
      <c r="R4" s="13"/>
      <c r="S4" s="13"/>
      <c r="V4" s="13"/>
      <c r="W4" s="13"/>
      <c r="X4" s="13"/>
      <c r="Y4" s="13"/>
      <c r="Z4" s="13"/>
      <c r="AA4" s="13"/>
      <c r="AB4" s="13"/>
      <c r="AD4" s="13"/>
      <c r="AE4" s="13"/>
      <c r="AF4" s="13"/>
      <c r="AG4" s="13"/>
      <c r="AH4" s="12"/>
      <c r="AI4" s="13"/>
      <c r="AJ4" s="14"/>
      <c r="AK4" s="13" t="s">
        <v>7</v>
      </c>
      <c r="AL4" s="13"/>
      <c r="AM4" s="15"/>
      <c r="AN4" s="149"/>
      <c r="AO4" s="14"/>
      <c r="AP4" s="14"/>
      <c r="AQ4" s="14" t="s">
        <v>7</v>
      </c>
      <c r="AR4" s="14"/>
      <c r="AS4" s="15"/>
      <c r="AT4" s="14" t="s">
        <v>7</v>
      </c>
      <c r="AU4" s="14"/>
      <c r="AV4" s="14"/>
      <c r="AW4" s="14"/>
      <c r="AX4" s="14"/>
      <c r="AY4" s="14"/>
      <c r="AZ4" s="14"/>
      <c r="BC4" s="31" t="str">
        <f t="shared" ref="BC4:BC67" si="10">IF((OR(NOT(ISBLANK(P4)), NOT(ISBLANK(Z4)), NOT(ISBLANK(AB4)), NOT(ISBLANK(AC4)), NOT(ISBLANK(AD4)))),"Y","")</f>
        <v/>
      </c>
      <c r="BD4" s="31" t="str">
        <f t="shared" ref="BD4:BD67" si="11">IF((NOT(ISBLANK(W4))),"Y","")</f>
        <v/>
      </c>
      <c r="BE4" s="31" t="str">
        <f t="shared" ref="BE4:BE67" si="12">IF((NOT(ISBLANK(AA4))),"Y","")</f>
        <v/>
      </c>
      <c r="BF4" s="31" t="str">
        <f t="shared" ref="BF4:BF67" si="13">IF((OR(NOT(ISBLANK(R4)), NOT(ISBLANK(Y4)), NOT(ISBLANK(AF4)))),"Y","")</f>
        <v/>
      </c>
      <c r="BG4" s="31" t="str">
        <f t="shared" ref="BG4:BG67" si="14">IF((OR(NOT(ISBLANK(C4)), NOT(ISBLANK(L4)), NOT(ISBLANK(X4)), NOT(ISBLANK(AG4)))),"Y","")</f>
        <v>Y</v>
      </c>
      <c r="BH4" s="31" t="str">
        <f t="shared" ref="BH4:BH67" si="15">IF((OR(NOT(ISBLANK(D4)), NOT(ISBLANK(E4)), NOT(ISBLANK(F4)), NOT(ISBLANK(J4)), NOT(ISBLANK(K4)), NOT(ISBLANK(M4)), NOT(ISBLANK(Q4)), NOT(ISBLANK(U4)), NOT(ISBLANK(V4)))),"Y","")</f>
        <v/>
      </c>
      <c r="BI4" s="31" t="str">
        <f t="shared" ref="BI4:BI67" si="16">IF((OR(NOT(ISBLANK(G4)),  NOT(ISBLANK(H4)), NOT(ISBLANK(I4)), NOT(ISBLANK(N4)), NOT(ISBLANK(O4)), NOT(ISBLANK(T4)), NOT(ISBLANK(S4)), NOT(ISBLANK(AE4)))),"Y","")</f>
        <v>Y</v>
      </c>
      <c r="BJ4" s="30" t="str">
        <f t="shared" ref="BJ4:BJ67" si="17">IF((OR(NOT(ISBLANK(P4)), NOT(ISBLANK(W4)), NOT(ISBLANK(Z4)), NOT(ISBLANK(AB4)), NOT(ISBLANK(AC4)), NOT(ISBLANK(AD4)))),"Y","")</f>
        <v/>
      </c>
      <c r="BK4" s="31" t="str">
        <f t="shared" ref="BK4:BK67" si="18">IF((OR(NOT(ISBLANK(C4)), NOT(ISBLANK(D4)), NOT(ISBLANK(E4)), NOT(ISBLANK(F4)), NOT(ISBLANK(G4)),  NOT(ISBLANK(H4)), NOT(ISBLANK(I4)), NOT(ISBLANK(J4)), NOT(ISBLANK(K4)), NOT(ISBLANK(L4)), NOT(ISBLANK(M4)), NOT(ISBLANK(N4)), NOT(ISBLANK(O4)), NOT(ISBLANK(Q4)), NOT(ISBLANK(R4)), NOT(ISBLANK(S4)), NOT(ISBLANK(T4)), NOT(ISBLANK(U4)), NOT(ISBLANK(V4)), NOT(ISBLANK(X4)), NOT(ISBLANK(Y4)), NOT(ISBLANK(AA4)), NOT(ISBLANK(AE4)), NOT(ISBLANK(AF4)), NOT(ISBLANK(AG4)))),"Y","")</f>
        <v>Y</v>
      </c>
      <c r="BL4" s="30" t="str">
        <f t="shared" ref="BL4:BL67" si="19">IF((NOT(ISBLANK(P4))),"Y","")</f>
        <v/>
      </c>
      <c r="BM4" s="31" t="str">
        <f t="shared" ref="BM4:BM67" si="20">IF((OR(NOT(ISBLANK(D4)), NOT(ISBLANK(AC4)), NOT(ISBLANK(AD4)))),"Y","")</f>
        <v/>
      </c>
      <c r="BN4" s="31" t="str">
        <f t="shared" ref="BN4:BN67" si="21">IF((OR(NOT(ISBLANK(E4)), NOT(ISBLANK(L4)), NOT(ISBLANK(Z4)))),"Y","")</f>
        <v/>
      </c>
      <c r="BO4" s="31" t="str">
        <f t="shared" ref="BO4:BO67" si="22">IF((OR(NOT(ISBLANK(C4)), NOT(ISBLANK(AG4)))),"Y","")</f>
        <v>Y</v>
      </c>
      <c r="BP4" s="31" t="str">
        <f t="shared" ref="BP4:BP67" si="23">IF((OR(NOT(ISBLANK(W4)), NOT(ISBLANK(AA4)), NOT(ISBLANK(AB4)))),"Y","")</f>
        <v/>
      </c>
      <c r="BQ4" s="31" t="str">
        <f t="shared" ref="BQ4:BQ67" si="24">IF((OR(NOT(ISBLANK(G4)), NOT(ISBLANK(N4)), NOT(ISBLANK(S4)), NOT(ISBLANK(T4)), NOT(ISBLANK(U4)), NOT(ISBLANK(V4)))),"Y","")</f>
        <v/>
      </c>
      <c r="BR4" s="31" t="str">
        <f t="shared" ref="BR4:BR67" si="25">IF((OR(NOT(ISBLANK(F4)),  NOT(ISBLANK(J4)), NOT(ISBLANK(K4)), NOT(ISBLANK(M4)), NOT(ISBLANK(O4)))),"Y","")</f>
        <v/>
      </c>
      <c r="BS4" s="31" t="str">
        <f t="shared" ref="BS4:BS67" si="26">IF((OR(NOT(ISBLANK(H4)), NOT(ISBLANK(I4)), NOT(ISBLANK(Q4)), NOT(ISBLANK(Y4)), NOT(ISBLANK(AF4)))),"Y","")</f>
        <v>Y</v>
      </c>
      <c r="BT4" s="31" t="str">
        <f t="shared" ref="BT4:BT67" si="27">IF((OR(NOT(ISBLANK(R4)), NOT(ISBLANK(X4)), NOT(ISBLANK(AE4)))),"Y","")</f>
        <v/>
      </c>
      <c r="BU4" s="30" t="str">
        <f t="shared" ref="BU4:BU67" si="28">IF((OR(NOT(ISBLANK(C4)), NOT(ISBLANK(D4)), NOT(ISBLANK(E4)), NOT(ISBLANK(L4)), NOT(ISBLANK(P4)), NOT(ISBLANK(Z4)), NOT(ISBLANK(AA4)), NOT(ISBLANK(AC4)), NOT(ISBLANK(AD4)), NOT(ISBLANK(AG4)))),"Y","")</f>
        <v>Y</v>
      </c>
      <c r="BV4" s="39" t="str">
        <f t="shared" ref="BV4:BV67" si="29">IF((OR(NOT(ISBLANK(F4)), NOT(ISBLANK(G4)),  NOT(ISBLANK(H4)), NOT(ISBLANK(I4)), NOT(ISBLANK(J4)), NOT(ISBLANK(K4)), NOT(ISBLANK(M4)), NOT(ISBLANK(N4)), NOT(ISBLANK(O4)), NOT(ISBLANK(Q4)), NOT(ISBLANK(R4)), NOT(ISBLANK(S4)), NOT(ISBLANK(T4)), NOT(ISBLANK(U4)), NOT(ISBLANK(V4)), NOT(ISBLANK(W4)), NOT(ISBLANK(X4)), NOT(ISBLANK(Y4)), NOT(ISBLANK(AB4)), NOT(ISBLANK(AE4)), NOT(ISBLANK(AF4)))),"Y","")</f>
        <v>Y</v>
      </c>
      <c r="BW4" s="3" t="s">
        <v>234</v>
      </c>
    </row>
    <row r="5" spans="1:76" ht="29" x14ac:dyDescent="0.35">
      <c r="A5" s="11" t="s">
        <v>10</v>
      </c>
      <c r="B5" s="3" t="s">
        <v>6</v>
      </c>
      <c r="C5" s="12" t="s">
        <v>7</v>
      </c>
      <c r="D5" s="59"/>
      <c r="E5" s="13"/>
      <c r="F5" s="13"/>
      <c r="G5" s="13"/>
      <c r="H5" s="13"/>
      <c r="I5" s="13"/>
      <c r="J5" s="13"/>
      <c r="K5" s="13"/>
      <c r="L5" s="13"/>
      <c r="N5" s="13"/>
      <c r="Q5" s="13"/>
      <c r="R5" s="13" t="s">
        <v>7</v>
      </c>
      <c r="S5" s="13"/>
      <c r="V5" s="13"/>
      <c r="W5" s="13"/>
      <c r="X5" s="13"/>
      <c r="Y5" s="13"/>
      <c r="Z5" s="13"/>
      <c r="AA5" s="13"/>
      <c r="AB5" s="13"/>
      <c r="AD5" s="13"/>
      <c r="AE5" s="13"/>
      <c r="AF5" s="13"/>
      <c r="AG5" s="13"/>
      <c r="AH5" s="12"/>
      <c r="AI5" s="13"/>
      <c r="AJ5" s="14"/>
      <c r="AK5" s="13" t="s">
        <v>7</v>
      </c>
      <c r="AL5" s="13" t="s">
        <v>7</v>
      </c>
      <c r="AM5" s="15"/>
      <c r="AN5" s="149"/>
      <c r="AO5" s="14"/>
      <c r="AP5" s="14"/>
      <c r="AQ5" s="14" t="s">
        <v>7</v>
      </c>
      <c r="AR5" s="14"/>
      <c r="AS5" s="15"/>
      <c r="AT5" s="14"/>
      <c r="AU5" s="14" t="s">
        <v>7</v>
      </c>
      <c r="AV5" s="14"/>
      <c r="AW5" s="14"/>
      <c r="AX5" s="14"/>
      <c r="AY5" s="14"/>
      <c r="AZ5" s="14"/>
      <c r="BC5" s="31" t="str">
        <f t="shared" si="10"/>
        <v/>
      </c>
      <c r="BD5" s="31" t="str">
        <f t="shared" si="11"/>
        <v/>
      </c>
      <c r="BE5" s="31" t="str">
        <f t="shared" si="12"/>
        <v/>
      </c>
      <c r="BF5" s="31" t="str">
        <f t="shared" si="13"/>
        <v>Y</v>
      </c>
      <c r="BG5" s="31" t="str">
        <f t="shared" si="14"/>
        <v>Y</v>
      </c>
      <c r="BH5" s="31" t="str">
        <f t="shared" si="15"/>
        <v/>
      </c>
      <c r="BI5" s="31" t="str">
        <f t="shared" si="16"/>
        <v/>
      </c>
      <c r="BJ5" s="30" t="str">
        <f t="shared" si="17"/>
        <v/>
      </c>
      <c r="BK5" s="31" t="str">
        <f t="shared" si="18"/>
        <v>Y</v>
      </c>
      <c r="BL5" s="30" t="str">
        <f t="shared" si="19"/>
        <v/>
      </c>
      <c r="BM5" s="31" t="str">
        <f t="shared" si="20"/>
        <v/>
      </c>
      <c r="BN5" s="31" t="str">
        <f t="shared" si="21"/>
        <v/>
      </c>
      <c r="BO5" s="31" t="str">
        <f t="shared" si="22"/>
        <v>Y</v>
      </c>
      <c r="BP5" s="31" t="str">
        <f t="shared" si="23"/>
        <v/>
      </c>
      <c r="BQ5" s="31" t="str">
        <f t="shared" si="24"/>
        <v/>
      </c>
      <c r="BR5" s="31" t="str">
        <f t="shared" si="25"/>
        <v/>
      </c>
      <c r="BS5" s="31" t="str">
        <f t="shared" si="26"/>
        <v/>
      </c>
      <c r="BT5" s="31" t="str">
        <f t="shared" si="27"/>
        <v>Y</v>
      </c>
      <c r="BU5" s="30" t="str">
        <f t="shared" si="28"/>
        <v>Y</v>
      </c>
      <c r="BV5" s="39" t="str">
        <f t="shared" si="29"/>
        <v>Y</v>
      </c>
      <c r="BW5" s="3" t="s">
        <v>455</v>
      </c>
    </row>
    <row r="6" spans="1:76" x14ac:dyDescent="0.35">
      <c r="A6" s="11" t="s">
        <v>11</v>
      </c>
      <c r="B6" s="3" t="s">
        <v>12</v>
      </c>
      <c r="C6" s="12"/>
      <c r="D6" s="59"/>
      <c r="E6" s="13"/>
      <c r="F6" s="13"/>
      <c r="G6" s="13"/>
      <c r="H6" s="13"/>
      <c r="I6" s="13"/>
      <c r="J6" s="13"/>
      <c r="K6" s="13"/>
      <c r="L6" s="13"/>
      <c r="N6" s="13"/>
      <c r="Q6" s="13"/>
      <c r="R6" s="13"/>
      <c r="S6" s="13" t="s">
        <v>7</v>
      </c>
      <c r="V6" s="13"/>
      <c r="W6" s="13"/>
      <c r="X6" s="13"/>
      <c r="Y6" s="13"/>
      <c r="Z6" s="13"/>
      <c r="AA6" s="13"/>
      <c r="AB6" s="13"/>
      <c r="AD6" s="13"/>
      <c r="AE6" s="13"/>
      <c r="AF6" s="13"/>
      <c r="AG6" s="13"/>
      <c r="AH6" s="12" t="s">
        <v>7</v>
      </c>
      <c r="AI6" s="13"/>
      <c r="AJ6" s="14"/>
      <c r="AK6" s="13"/>
      <c r="AL6" s="13"/>
      <c r="AM6" s="15"/>
      <c r="AN6" s="149"/>
      <c r="AO6" s="14"/>
      <c r="AP6" s="14"/>
      <c r="AQ6" s="14"/>
      <c r="AR6" s="14" t="s">
        <v>7</v>
      </c>
      <c r="AS6" s="15" t="s">
        <v>7</v>
      </c>
      <c r="AT6" s="14"/>
      <c r="AU6" s="14"/>
      <c r="AV6" s="14"/>
      <c r="AW6" s="14"/>
      <c r="AX6" s="14"/>
      <c r="AY6" s="14"/>
      <c r="AZ6" s="14"/>
      <c r="BC6" s="31" t="str">
        <f t="shared" si="10"/>
        <v/>
      </c>
      <c r="BD6" s="31" t="str">
        <f t="shared" si="11"/>
        <v/>
      </c>
      <c r="BE6" s="31" t="str">
        <f t="shared" si="12"/>
        <v/>
      </c>
      <c r="BF6" s="31" t="str">
        <f t="shared" si="13"/>
        <v/>
      </c>
      <c r="BG6" s="31" t="str">
        <f t="shared" si="14"/>
        <v/>
      </c>
      <c r="BH6" s="31" t="str">
        <f t="shared" si="15"/>
        <v/>
      </c>
      <c r="BI6" s="31" t="str">
        <f t="shared" si="16"/>
        <v>Y</v>
      </c>
      <c r="BJ6" s="30" t="str">
        <f t="shared" si="17"/>
        <v/>
      </c>
      <c r="BK6" s="31" t="str">
        <f t="shared" si="18"/>
        <v>Y</v>
      </c>
      <c r="BL6" s="30" t="str">
        <f t="shared" si="19"/>
        <v/>
      </c>
      <c r="BM6" s="31" t="str">
        <f t="shared" si="20"/>
        <v/>
      </c>
      <c r="BN6" s="31" t="str">
        <f t="shared" si="21"/>
        <v/>
      </c>
      <c r="BO6" s="31" t="str">
        <f t="shared" si="22"/>
        <v/>
      </c>
      <c r="BP6" s="31" t="str">
        <f t="shared" si="23"/>
        <v/>
      </c>
      <c r="BQ6" s="31" t="str">
        <f t="shared" si="24"/>
        <v>Y</v>
      </c>
      <c r="BR6" s="31" t="str">
        <f t="shared" si="25"/>
        <v/>
      </c>
      <c r="BS6" s="31" t="str">
        <f t="shared" si="26"/>
        <v/>
      </c>
      <c r="BT6" s="31" t="str">
        <f t="shared" si="27"/>
        <v/>
      </c>
      <c r="BU6" s="30" t="str">
        <f t="shared" si="28"/>
        <v/>
      </c>
      <c r="BV6" s="39" t="str">
        <f t="shared" si="29"/>
        <v>Y</v>
      </c>
      <c r="BW6" s="3" t="s">
        <v>177</v>
      </c>
    </row>
    <row r="7" spans="1:76" x14ac:dyDescent="0.35">
      <c r="A7" s="11" t="s">
        <v>13</v>
      </c>
      <c r="B7" s="3" t="s">
        <v>14</v>
      </c>
      <c r="C7" s="12"/>
      <c r="D7" s="59"/>
      <c r="E7" s="13"/>
      <c r="F7" s="13"/>
      <c r="G7" s="13" t="s">
        <v>7</v>
      </c>
      <c r="H7" s="13"/>
      <c r="I7" s="13"/>
      <c r="J7" s="13"/>
      <c r="K7" s="13"/>
      <c r="L7" s="13"/>
      <c r="M7" s="13" t="s">
        <v>7</v>
      </c>
      <c r="N7" s="13"/>
      <c r="Q7" s="13"/>
      <c r="R7" s="13"/>
      <c r="S7" s="13"/>
      <c r="V7" s="13"/>
      <c r="W7" s="13"/>
      <c r="X7" s="13"/>
      <c r="Y7" s="13"/>
      <c r="Z7" s="13"/>
      <c r="AA7" s="13"/>
      <c r="AB7" s="13"/>
      <c r="AD7" s="13"/>
      <c r="AE7" s="13"/>
      <c r="AF7" s="13"/>
      <c r="AG7" s="13"/>
      <c r="AH7" s="12"/>
      <c r="AI7" s="13"/>
      <c r="AJ7" s="14"/>
      <c r="AK7" s="13"/>
      <c r="AL7" s="13" t="s">
        <v>7</v>
      </c>
      <c r="AM7" s="15"/>
      <c r="AN7" s="149"/>
      <c r="AO7" s="14"/>
      <c r="AP7" s="14"/>
      <c r="AQ7" s="14" t="s">
        <v>7</v>
      </c>
      <c r="AR7" s="14"/>
      <c r="AS7" s="15"/>
      <c r="AT7" s="14"/>
      <c r="AU7" s="14"/>
      <c r="AV7" s="14"/>
      <c r="AW7" s="14"/>
      <c r="AX7" s="14"/>
      <c r="AY7" s="14" t="s">
        <v>7</v>
      </c>
      <c r="AZ7" s="14"/>
      <c r="BC7" s="31" t="str">
        <f t="shared" si="10"/>
        <v/>
      </c>
      <c r="BD7" s="31" t="str">
        <f t="shared" si="11"/>
        <v/>
      </c>
      <c r="BE7" s="31" t="str">
        <f t="shared" si="12"/>
        <v/>
      </c>
      <c r="BF7" s="31" t="str">
        <f t="shared" si="13"/>
        <v/>
      </c>
      <c r="BG7" s="31" t="str">
        <f t="shared" si="14"/>
        <v/>
      </c>
      <c r="BH7" s="31" t="str">
        <f t="shared" si="15"/>
        <v>Y</v>
      </c>
      <c r="BI7" s="31" t="str">
        <f t="shared" si="16"/>
        <v>Y</v>
      </c>
      <c r="BJ7" s="30" t="str">
        <f t="shared" si="17"/>
        <v/>
      </c>
      <c r="BK7" s="31" t="str">
        <f t="shared" si="18"/>
        <v>Y</v>
      </c>
      <c r="BL7" s="30" t="str">
        <f t="shared" si="19"/>
        <v/>
      </c>
      <c r="BM7" s="31" t="str">
        <f t="shared" si="20"/>
        <v/>
      </c>
      <c r="BN7" s="31" t="str">
        <f t="shared" si="21"/>
        <v/>
      </c>
      <c r="BO7" s="31" t="str">
        <f t="shared" si="22"/>
        <v/>
      </c>
      <c r="BP7" s="31" t="str">
        <f t="shared" si="23"/>
        <v/>
      </c>
      <c r="BQ7" s="31" t="str">
        <f t="shared" si="24"/>
        <v>Y</v>
      </c>
      <c r="BR7" s="31" t="str">
        <f t="shared" si="25"/>
        <v>Y</v>
      </c>
      <c r="BS7" s="31" t="str">
        <f t="shared" si="26"/>
        <v/>
      </c>
      <c r="BT7" s="31" t="str">
        <f t="shared" si="27"/>
        <v/>
      </c>
      <c r="BU7" s="30" t="str">
        <f t="shared" si="28"/>
        <v/>
      </c>
      <c r="BV7" s="39" t="str">
        <f t="shared" si="29"/>
        <v>Y</v>
      </c>
      <c r="BW7" s="3" t="s">
        <v>178</v>
      </c>
    </row>
    <row r="8" spans="1:76" x14ac:dyDescent="0.35">
      <c r="A8" s="11" t="s">
        <v>433</v>
      </c>
      <c r="B8" s="3" t="s">
        <v>14</v>
      </c>
      <c r="C8" s="12"/>
      <c r="D8" s="59"/>
      <c r="E8" s="13"/>
      <c r="F8" s="13"/>
      <c r="G8" s="13"/>
      <c r="H8" s="13"/>
      <c r="I8" s="13"/>
      <c r="J8" s="13"/>
      <c r="K8" s="13"/>
      <c r="L8" s="13"/>
      <c r="N8" s="13"/>
      <c r="Q8" s="13"/>
      <c r="R8" s="13"/>
      <c r="S8" s="13"/>
      <c r="V8" s="13"/>
      <c r="W8" s="13"/>
      <c r="X8" s="13"/>
      <c r="Y8" s="13"/>
      <c r="Z8" s="13"/>
      <c r="AA8" s="13"/>
      <c r="AB8" s="13"/>
      <c r="AD8" s="13"/>
      <c r="AE8" s="13"/>
      <c r="AF8" s="13"/>
      <c r="AG8" s="13" t="s">
        <v>7</v>
      </c>
      <c r="AH8" s="12"/>
      <c r="AI8" s="13" t="s">
        <v>7</v>
      </c>
      <c r="AJ8" s="14"/>
      <c r="AK8" s="13"/>
      <c r="AL8" s="13"/>
      <c r="AM8" s="15" t="s">
        <v>7</v>
      </c>
      <c r="AN8" s="149"/>
      <c r="AO8" s="14"/>
      <c r="AP8" s="14"/>
      <c r="AQ8" s="14"/>
      <c r="AR8" s="14"/>
      <c r="AS8" s="15"/>
      <c r="AT8" s="14"/>
      <c r="AU8" s="14"/>
      <c r="AV8" s="14"/>
      <c r="AW8" s="14"/>
      <c r="AX8" s="14"/>
      <c r="AY8" s="14" t="s">
        <v>7</v>
      </c>
      <c r="AZ8" s="14"/>
      <c r="BC8" s="31" t="str">
        <f t="shared" si="10"/>
        <v/>
      </c>
      <c r="BD8" s="31" t="str">
        <f t="shared" si="11"/>
        <v/>
      </c>
      <c r="BE8" s="31" t="str">
        <f t="shared" si="12"/>
        <v/>
      </c>
      <c r="BF8" s="31" t="str">
        <f t="shared" si="13"/>
        <v/>
      </c>
      <c r="BG8" s="31" t="str">
        <f t="shared" si="14"/>
        <v>Y</v>
      </c>
      <c r="BH8" s="31" t="str">
        <f t="shared" si="15"/>
        <v/>
      </c>
      <c r="BI8" s="31" t="str">
        <f t="shared" si="16"/>
        <v/>
      </c>
      <c r="BJ8" s="30" t="str">
        <f t="shared" si="17"/>
        <v/>
      </c>
      <c r="BK8" s="31" t="str">
        <f t="shared" si="18"/>
        <v>Y</v>
      </c>
      <c r="BL8" s="30" t="str">
        <f t="shared" si="19"/>
        <v/>
      </c>
      <c r="BM8" s="31" t="str">
        <f t="shared" si="20"/>
        <v/>
      </c>
      <c r="BN8" s="31" t="str">
        <f t="shared" si="21"/>
        <v/>
      </c>
      <c r="BO8" s="31" t="str">
        <f t="shared" si="22"/>
        <v>Y</v>
      </c>
      <c r="BP8" s="31" t="str">
        <f t="shared" si="23"/>
        <v/>
      </c>
      <c r="BQ8" s="31" t="str">
        <f t="shared" si="24"/>
        <v/>
      </c>
      <c r="BR8" s="31" t="str">
        <f t="shared" si="25"/>
        <v/>
      </c>
      <c r="BS8" s="31" t="str">
        <f t="shared" si="26"/>
        <v/>
      </c>
      <c r="BT8" s="31" t="str">
        <f t="shared" si="27"/>
        <v/>
      </c>
      <c r="BU8" s="30" t="str">
        <f t="shared" si="28"/>
        <v>Y</v>
      </c>
      <c r="BV8" s="39" t="str">
        <f t="shared" si="29"/>
        <v/>
      </c>
      <c r="BW8" s="3" t="s">
        <v>435</v>
      </c>
    </row>
    <row r="9" spans="1:76" ht="43.5" x14ac:dyDescent="0.35">
      <c r="A9" s="11" t="s">
        <v>15</v>
      </c>
      <c r="B9" s="3" t="s">
        <v>16</v>
      </c>
      <c r="C9" s="12" t="s">
        <v>7</v>
      </c>
      <c r="D9" s="59"/>
      <c r="E9" s="13"/>
      <c r="F9" s="13"/>
      <c r="G9" s="13"/>
      <c r="H9" s="13" t="s">
        <v>7</v>
      </c>
      <c r="I9" s="13"/>
      <c r="J9" s="13"/>
      <c r="K9" s="13"/>
      <c r="L9" s="13" t="s">
        <v>7</v>
      </c>
      <c r="N9" s="13"/>
      <c r="P9" s="13" t="s">
        <v>7</v>
      </c>
      <c r="Q9" s="13"/>
      <c r="R9" s="13"/>
      <c r="S9" s="13"/>
      <c r="U9" s="28" t="s">
        <v>7</v>
      </c>
      <c r="V9" s="13"/>
      <c r="W9" s="13"/>
      <c r="X9" s="13"/>
      <c r="Y9" s="13" t="s">
        <v>7</v>
      </c>
      <c r="Z9" s="13"/>
      <c r="AA9" s="13"/>
      <c r="AB9" s="13"/>
      <c r="AC9" s="13" t="s">
        <v>7</v>
      </c>
      <c r="AD9" s="13"/>
      <c r="AE9" s="13"/>
      <c r="AF9" s="13"/>
      <c r="AG9" s="13"/>
      <c r="AH9" s="12"/>
      <c r="AI9" s="13"/>
      <c r="AJ9" s="14" t="s">
        <v>7</v>
      </c>
      <c r="AK9" s="13" t="s">
        <v>7</v>
      </c>
      <c r="AL9" s="13" t="s">
        <v>7</v>
      </c>
      <c r="AM9" s="15"/>
      <c r="AN9" s="149"/>
      <c r="AO9" s="14"/>
      <c r="AP9" s="14"/>
      <c r="AQ9" s="14" t="s">
        <v>7</v>
      </c>
      <c r="AR9" s="14"/>
      <c r="AS9" s="15"/>
      <c r="AT9" s="14"/>
      <c r="AU9" s="14"/>
      <c r="AV9" s="14" t="s">
        <v>7</v>
      </c>
      <c r="AW9" s="14"/>
      <c r="AX9" s="14"/>
      <c r="AY9" s="14"/>
      <c r="AZ9" s="14"/>
      <c r="BC9" s="31" t="str">
        <f t="shared" si="10"/>
        <v>Y</v>
      </c>
      <c r="BD9" s="31" t="str">
        <f t="shared" si="11"/>
        <v/>
      </c>
      <c r="BE9" s="31" t="str">
        <f t="shared" si="12"/>
        <v/>
      </c>
      <c r="BF9" s="31" t="str">
        <f t="shared" si="13"/>
        <v>Y</v>
      </c>
      <c r="BG9" s="31" t="str">
        <f t="shared" si="14"/>
        <v>Y</v>
      </c>
      <c r="BH9" s="31" t="str">
        <f t="shared" si="15"/>
        <v>Y</v>
      </c>
      <c r="BI9" s="31" t="str">
        <f t="shared" si="16"/>
        <v>Y</v>
      </c>
      <c r="BJ9" s="30" t="str">
        <f t="shared" si="17"/>
        <v>Y</v>
      </c>
      <c r="BK9" s="31" t="str">
        <f t="shared" si="18"/>
        <v>Y</v>
      </c>
      <c r="BL9" s="30" t="str">
        <f t="shared" si="19"/>
        <v>Y</v>
      </c>
      <c r="BM9" s="31" t="str">
        <f t="shared" si="20"/>
        <v>Y</v>
      </c>
      <c r="BN9" s="31" t="str">
        <f t="shared" si="21"/>
        <v>Y</v>
      </c>
      <c r="BO9" s="31" t="str">
        <f t="shared" si="22"/>
        <v>Y</v>
      </c>
      <c r="BP9" s="31" t="str">
        <f t="shared" si="23"/>
        <v/>
      </c>
      <c r="BQ9" s="31" t="str">
        <f t="shared" si="24"/>
        <v>Y</v>
      </c>
      <c r="BR9" s="31" t="str">
        <f t="shared" si="25"/>
        <v/>
      </c>
      <c r="BS9" s="31" t="str">
        <f t="shared" si="26"/>
        <v>Y</v>
      </c>
      <c r="BT9" s="31" t="str">
        <f t="shared" si="27"/>
        <v/>
      </c>
      <c r="BU9" s="30" t="str">
        <f t="shared" si="28"/>
        <v>Y</v>
      </c>
      <c r="BV9" s="39" t="str">
        <f t="shared" si="29"/>
        <v>Y</v>
      </c>
      <c r="BW9" s="3" t="s">
        <v>325</v>
      </c>
    </row>
    <row r="10" spans="1:76" x14ac:dyDescent="0.35">
      <c r="A10" s="11" t="s">
        <v>17</v>
      </c>
      <c r="B10" s="3" t="s">
        <v>18</v>
      </c>
      <c r="C10" s="12" t="s">
        <v>7</v>
      </c>
      <c r="D10" s="59"/>
      <c r="E10" s="13"/>
      <c r="F10" s="13"/>
      <c r="G10" s="13"/>
      <c r="H10" s="13" t="s">
        <v>7</v>
      </c>
      <c r="I10" s="13"/>
      <c r="J10" s="13"/>
      <c r="K10" s="13"/>
      <c r="L10" s="13"/>
      <c r="N10" s="13"/>
      <c r="Q10" s="13"/>
      <c r="R10" s="13"/>
      <c r="S10" s="13"/>
      <c r="V10" s="13"/>
      <c r="W10" s="13"/>
      <c r="X10" s="13"/>
      <c r="Y10" s="13"/>
      <c r="Z10" s="13"/>
      <c r="AA10" s="13"/>
      <c r="AB10" s="13"/>
      <c r="AD10" s="13"/>
      <c r="AE10" s="13"/>
      <c r="AF10" s="13"/>
      <c r="AG10" s="13"/>
      <c r="AH10" s="12"/>
      <c r="AI10" s="13"/>
      <c r="AJ10" s="14"/>
      <c r="AK10" s="13" t="s">
        <v>7</v>
      </c>
      <c r="AL10" s="13"/>
      <c r="AM10" s="15"/>
      <c r="AN10" s="149"/>
      <c r="AO10" s="14"/>
      <c r="AP10" s="14"/>
      <c r="AQ10" s="14" t="s">
        <v>7</v>
      </c>
      <c r="AR10" s="14"/>
      <c r="AS10" s="15"/>
      <c r="AT10" s="14" t="s">
        <v>7</v>
      </c>
      <c r="AU10" s="14"/>
      <c r="AV10" s="14"/>
      <c r="AW10" s="14"/>
      <c r="AX10" s="14"/>
      <c r="AY10" s="14"/>
      <c r="AZ10" s="14"/>
      <c r="BC10" s="31" t="str">
        <f t="shared" si="10"/>
        <v/>
      </c>
      <c r="BD10" s="31" t="str">
        <f t="shared" si="11"/>
        <v/>
      </c>
      <c r="BE10" s="31" t="str">
        <f t="shared" si="12"/>
        <v/>
      </c>
      <c r="BF10" s="31" t="str">
        <f t="shared" si="13"/>
        <v/>
      </c>
      <c r="BG10" s="31" t="str">
        <f t="shared" si="14"/>
        <v>Y</v>
      </c>
      <c r="BH10" s="31" t="str">
        <f t="shared" si="15"/>
        <v/>
      </c>
      <c r="BI10" s="31" t="str">
        <f t="shared" si="16"/>
        <v>Y</v>
      </c>
      <c r="BJ10" s="30" t="str">
        <f t="shared" si="17"/>
        <v/>
      </c>
      <c r="BK10" s="31" t="str">
        <f t="shared" si="18"/>
        <v>Y</v>
      </c>
      <c r="BL10" s="30" t="str">
        <f t="shared" si="19"/>
        <v/>
      </c>
      <c r="BM10" s="31" t="str">
        <f t="shared" si="20"/>
        <v/>
      </c>
      <c r="BN10" s="31" t="str">
        <f t="shared" si="21"/>
        <v/>
      </c>
      <c r="BO10" s="31" t="str">
        <f t="shared" si="22"/>
        <v>Y</v>
      </c>
      <c r="BP10" s="31" t="str">
        <f t="shared" si="23"/>
        <v/>
      </c>
      <c r="BQ10" s="31" t="str">
        <f t="shared" si="24"/>
        <v/>
      </c>
      <c r="BR10" s="31" t="str">
        <f t="shared" si="25"/>
        <v/>
      </c>
      <c r="BS10" s="31" t="str">
        <f t="shared" si="26"/>
        <v>Y</v>
      </c>
      <c r="BT10" s="31" t="str">
        <f t="shared" si="27"/>
        <v/>
      </c>
      <c r="BU10" s="30" t="str">
        <f t="shared" si="28"/>
        <v>Y</v>
      </c>
      <c r="BV10" s="39" t="str">
        <f t="shared" si="29"/>
        <v>Y</v>
      </c>
      <c r="BW10" s="3" t="s">
        <v>235</v>
      </c>
    </row>
    <row r="11" spans="1:76" x14ac:dyDescent="0.35">
      <c r="A11" s="11" t="s">
        <v>19</v>
      </c>
      <c r="B11" s="3" t="s">
        <v>14</v>
      </c>
      <c r="C11" s="12" t="s">
        <v>7</v>
      </c>
      <c r="D11" s="59"/>
      <c r="E11" s="13"/>
      <c r="F11" s="13"/>
      <c r="G11" s="13"/>
      <c r="H11" s="13"/>
      <c r="I11" s="13"/>
      <c r="J11" s="13"/>
      <c r="K11" s="13"/>
      <c r="L11" s="13"/>
      <c r="N11" s="13"/>
      <c r="Q11" s="13"/>
      <c r="R11" s="13"/>
      <c r="S11" s="13"/>
      <c r="V11" s="13"/>
      <c r="W11" s="13" t="s">
        <v>7</v>
      </c>
      <c r="X11" s="13"/>
      <c r="Y11" s="13"/>
      <c r="Z11" s="13"/>
      <c r="AA11" s="13"/>
      <c r="AB11" s="13"/>
      <c r="AD11" s="13" t="s">
        <v>7</v>
      </c>
      <c r="AE11" s="13"/>
      <c r="AF11" s="13"/>
      <c r="AG11" s="13"/>
      <c r="AH11" s="12"/>
      <c r="AI11" s="13"/>
      <c r="AJ11" s="14"/>
      <c r="AK11" s="13" t="s">
        <v>7</v>
      </c>
      <c r="AL11" s="13" t="s">
        <v>7</v>
      </c>
      <c r="AM11" s="15"/>
      <c r="AN11" s="149"/>
      <c r="AO11" s="14"/>
      <c r="AP11" s="14" t="s">
        <v>7</v>
      </c>
      <c r="AQ11" s="14"/>
      <c r="AR11" s="14"/>
      <c r="AS11" s="15"/>
      <c r="AT11" s="14"/>
      <c r="AU11" s="14"/>
      <c r="AV11" s="14"/>
      <c r="AW11" s="14"/>
      <c r="AX11" s="14"/>
      <c r="AY11" s="14" t="s">
        <v>7</v>
      </c>
      <c r="AZ11" s="14"/>
      <c r="BC11" s="31" t="str">
        <f t="shared" si="10"/>
        <v>Y</v>
      </c>
      <c r="BD11" s="31" t="str">
        <f t="shared" si="11"/>
        <v>Y</v>
      </c>
      <c r="BE11" s="31" t="str">
        <f t="shared" si="12"/>
        <v/>
      </c>
      <c r="BF11" s="31" t="str">
        <f t="shared" si="13"/>
        <v/>
      </c>
      <c r="BG11" s="31" t="str">
        <f t="shared" si="14"/>
        <v>Y</v>
      </c>
      <c r="BH11" s="31" t="str">
        <f t="shared" si="15"/>
        <v/>
      </c>
      <c r="BI11" s="31" t="str">
        <f t="shared" si="16"/>
        <v/>
      </c>
      <c r="BJ11" s="30" t="str">
        <f t="shared" si="17"/>
        <v>Y</v>
      </c>
      <c r="BK11" s="31" t="str">
        <f t="shared" si="18"/>
        <v>Y</v>
      </c>
      <c r="BL11" s="30" t="str">
        <f t="shared" si="19"/>
        <v/>
      </c>
      <c r="BM11" s="31" t="str">
        <f t="shared" si="20"/>
        <v>Y</v>
      </c>
      <c r="BN11" s="31" t="str">
        <f t="shared" si="21"/>
        <v/>
      </c>
      <c r="BO11" s="31" t="str">
        <f t="shared" si="22"/>
        <v>Y</v>
      </c>
      <c r="BP11" s="31" t="str">
        <f t="shared" si="23"/>
        <v>Y</v>
      </c>
      <c r="BQ11" s="31" t="str">
        <f t="shared" si="24"/>
        <v/>
      </c>
      <c r="BR11" s="31" t="str">
        <f t="shared" si="25"/>
        <v/>
      </c>
      <c r="BS11" s="31" t="str">
        <f t="shared" si="26"/>
        <v/>
      </c>
      <c r="BT11" s="31" t="str">
        <f t="shared" si="27"/>
        <v/>
      </c>
      <c r="BU11" s="30" t="str">
        <f t="shared" si="28"/>
        <v>Y</v>
      </c>
      <c r="BV11" s="39" t="str">
        <f t="shared" si="29"/>
        <v>Y</v>
      </c>
      <c r="BW11" s="3" t="s">
        <v>179</v>
      </c>
    </row>
    <row r="12" spans="1:76" x14ac:dyDescent="0.35">
      <c r="A12" s="11" t="s">
        <v>20</v>
      </c>
      <c r="B12" s="3" t="s">
        <v>12</v>
      </c>
      <c r="C12" s="12" t="s">
        <v>7</v>
      </c>
      <c r="D12" s="59"/>
      <c r="E12" s="13"/>
      <c r="F12" s="13"/>
      <c r="G12" s="13"/>
      <c r="H12" s="13"/>
      <c r="I12" s="13"/>
      <c r="J12" s="13"/>
      <c r="K12" s="13"/>
      <c r="L12" s="13"/>
      <c r="N12" s="13"/>
      <c r="Q12" s="13"/>
      <c r="R12" s="13"/>
      <c r="S12" s="13"/>
      <c r="V12" s="13"/>
      <c r="W12" s="13"/>
      <c r="X12" s="13"/>
      <c r="Y12" s="13"/>
      <c r="Z12" s="13"/>
      <c r="AA12" s="13"/>
      <c r="AB12" s="13"/>
      <c r="AD12" s="13"/>
      <c r="AE12" s="13"/>
      <c r="AF12" s="13"/>
      <c r="AG12" s="13"/>
      <c r="AH12" s="12"/>
      <c r="AI12" s="13"/>
      <c r="AJ12" s="14"/>
      <c r="AK12" s="13" t="s">
        <v>7</v>
      </c>
      <c r="AL12" s="13"/>
      <c r="AM12" s="15"/>
      <c r="AN12" s="149"/>
      <c r="AO12" s="14"/>
      <c r="AP12" s="14"/>
      <c r="AQ12" s="14"/>
      <c r="AR12" s="14" t="s">
        <v>7</v>
      </c>
      <c r="AS12" s="15" t="s">
        <v>7</v>
      </c>
      <c r="AT12" s="14"/>
      <c r="AU12" s="14"/>
      <c r="AV12" s="14"/>
      <c r="AW12" s="14"/>
      <c r="AX12" s="14"/>
      <c r="AY12" s="14"/>
      <c r="AZ12" s="14"/>
      <c r="BC12" s="31" t="str">
        <f t="shared" si="10"/>
        <v/>
      </c>
      <c r="BD12" s="31" t="str">
        <f t="shared" si="11"/>
        <v/>
      </c>
      <c r="BE12" s="31" t="str">
        <f t="shared" si="12"/>
        <v/>
      </c>
      <c r="BF12" s="31" t="str">
        <f t="shared" si="13"/>
        <v/>
      </c>
      <c r="BG12" s="31" t="str">
        <f t="shared" si="14"/>
        <v>Y</v>
      </c>
      <c r="BH12" s="31" t="str">
        <f t="shared" si="15"/>
        <v/>
      </c>
      <c r="BI12" s="31" t="str">
        <f t="shared" si="16"/>
        <v/>
      </c>
      <c r="BJ12" s="30" t="str">
        <f t="shared" si="17"/>
        <v/>
      </c>
      <c r="BK12" s="31" t="str">
        <f t="shared" si="18"/>
        <v>Y</v>
      </c>
      <c r="BL12" s="30" t="str">
        <f t="shared" si="19"/>
        <v/>
      </c>
      <c r="BM12" s="31" t="str">
        <f t="shared" si="20"/>
        <v/>
      </c>
      <c r="BN12" s="31" t="str">
        <f t="shared" si="21"/>
        <v/>
      </c>
      <c r="BO12" s="31" t="str">
        <f t="shared" si="22"/>
        <v>Y</v>
      </c>
      <c r="BP12" s="31" t="str">
        <f t="shared" si="23"/>
        <v/>
      </c>
      <c r="BQ12" s="31" t="str">
        <f t="shared" si="24"/>
        <v/>
      </c>
      <c r="BR12" s="31" t="str">
        <f t="shared" si="25"/>
        <v/>
      </c>
      <c r="BS12" s="31" t="str">
        <f t="shared" si="26"/>
        <v/>
      </c>
      <c r="BT12" s="31" t="str">
        <f t="shared" si="27"/>
        <v/>
      </c>
      <c r="BU12" s="30" t="str">
        <f t="shared" si="28"/>
        <v>Y</v>
      </c>
      <c r="BV12" s="39" t="str">
        <f t="shared" si="29"/>
        <v/>
      </c>
      <c r="BW12" s="3" t="s">
        <v>180</v>
      </c>
    </row>
    <row r="13" spans="1:76" ht="29" x14ac:dyDescent="0.35">
      <c r="A13" s="11" t="s">
        <v>21</v>
      </c>
      <c r="B13" s="3" t="s">
        <v>22</v>
      </c>
      <c r="C13" s="12"/>
      <c r="D13" s="59"/>
      <c r="E13" s="13"/>
      <c r="F13" s="13"/>
      <c r="G13" s="13"/>
      <c r="H13" s="13" t="s">
        <v>7</v>
      </c>
      <c r="I13" s="13"/>
      <c r="J13" s="13"/>
      <c r="K13" s="13"/>
      <c r="L13" s="13"/>
      <c r="N13" s="13"/>
      <c r="Q13" s="13"/>
      <c r="R13" s="13"/>
      <c r="S13" s="13"/>
      <c r="V13" s="13"/>
      <c r="W13" s="13"/>
      <c r="X13" s="13"/>
      <c r="Y13" s="13"/>
      <c r="Z13" s="13"/>
      <c r="AA13" s="13"/>
      <c r="AB13" s="13"/>
      <c r="AD13" s="13"/>
      <c r="AE13" s="13"/>
      <c r="AF13" s="13"/>
      <c r="AG13" s="13"/>
      <c r="AH13" s="12"/>
      <c r="AI13" s="13"/>
      <c r="AJ13" s="14"/>
      <c r="AK13" s="13" t="s">
        <v>7</v>
      </c>
      <c r="AL13" s="13"/>
      <c r="AM13" s="15"/>
      <c r="AN13" s="149"/>
      <c r="AO13" s="14"/>
      <c r="AP13" s="14"/>
      <c r="AQ13" s="14" t="s">
        <v>7</v>
      </c>
      <c r="AR13" s="14"/>
      <c r="AS13" s="15"/>
      <c r="AT13" s="14"/>
      <c r="AU13" s="14" t="s">
        <v>7</v>
      </c>
      <c r="AV13" s="14"/>
      <c r="AW13" s="14"/>
      <c r="AX13" s="14"/>
      <c r="AY13" s="14"/>
      <c r="AZ13" s="14"/>
      <c r="BC13" s="31" t="str">
        <f t="shared" si="10"/>
        <v/>
      </c>
      <c r="BD13" s="31" t="str">
        <f t="shared" si="11"/>
        <v/>
      </c>
      <c r="BE13" s="31" t="str">
        <f t="shared" si="12"/>
        <v/>
      </c>
      <c r="BF13" s="31" t="str">
        <f t="shared" si="13"/>
        <v/>
      </c>
      <c r="BG13" s="31" t="str">
        <f t="shared" si="14"/>
        <v/>
      </c>
      <c r="BH13" s="31" t="str">
        <f t="shared" si="15"/>
        <v/>
      </c>
      <c r="BI13" s="31" t="str">
        <f t="shared" si="16"/>
        <v>Y</v>
      </c>
      <c r="BJ13" s="30" t="str">
        <f t="shared" si="17"/>
        <v/>
      </c>
      <c r="BK13" s="31" t="str">
        <f t="shared" si="18"/>
        <v>Y</v>
      </c>
      <c r="BL13" s="30" t="str">
        <f t="shared" si="19"/>
        <v/>
      </c>
      <c r="BM13" s="31" t="str">
        <f t="shared" si="20"/>
        <v/>
      </c>
      <c r="BN13" s="31" t="str">
        <f t="shared" si="21"/>
        <v/>
      </c>
      <c r="BO13" s="31" t="str">
        <f t="shared" si="22"/>
        <v/>
      </c>
      <c r="BP13" s="31" t="str">
        <f t="shared" si="23"/>
        <v/>
      </c>
      <c r="BQ13" s="31" t="str">
        <f t="shared" si="24"/>
        <v/>
      </c>
      <c r="BR13" s="31" t="str">
        <f t="shared" si="25"/>
        <v/>
      </c>
      <c r="BS13" s="31" t="str">
        <f t="shared" si="26"/>
        <v>Y</v>
      </c>
      <c r="BT13" s="31" t="str">
        <f t="shared" si="27"/>
        <v/>
      </c>
      <c r="BU13" s="30" t="str">
        <f t="shared" si="28"/>
        <v/>
      </c>
      <c r="BV13" s="39" t="str">
        <f t="shared" si="29"/>
        <v>Y</v>
      </c>
      <c r="BW13" s="3" t="s">
        <v>236</v>
      </c>
    </row>
    <row r="14" spans="1:76" x14ac:dyDescent="0.35">
      <c r="A14" s="11" t="s">
        <v>23</v>
      </c>
      <c r="B14" s="3" t="s">
        <v>18</v>
      </c>
      <c r="C14" s="12" t="s">
        <v>7</v>
      </c>
      <c r="D14" s="59"/>
      <c r="E14" s="13"/>
      <c r="F14" s="13"/>
      <c r="G14" s="13"/>
      <c r="H14" s="13"/>
      <c r="I14" s="13"/>
      <c r="J14" s="13"/>
      <c r="K14" s="13"/>
      <c r="L14" s="13"/>
      <c r="N14" s="13"/>
      <c r="Q14" s="13"/>
      <c r="R14" s="13"/>
      <c r="S14" s="13"/>
      <c r="V14" s="13"/>
      <c r="W14" s="13"/>
      <c r="X14" s="13"/>
      <c r="Y14" s="13"/>
      <c r="Z14" s="13"/>
      <c r="AA14" s="13"/>
      <c r="AB14" s="13"/>
      <c r="AD14" s="13"/>
      <c r="AE14" s="13"/>
      <c r="AF14" s="13"/>
      <c r="AG14" s="13"/>
      <c r="AH14" s="12"/>
      <c r="AI14" s="13"/>
      <c r="AJ14" s="14"/>
      <c r="AK14" s="13" t="s">
        <v>7</v>
      </c>
      <c r="AL14" s="13"/>
      <c r="AM14" s="15"/>
      <c r="AN14" s="149"/>
      <c r="AO14" s="14"/>
      <c r="AP14" s="14"/>
      <c r="AQ14" s="14" t="s">
        <v>7</v>
      </c>
      <c r="AR14" s="14"/>
      <c r="AS14" s="15"/>
      <c r="AT14" s="14" t="s">
        <v>7</v>
      </c>
      <c r="AU14" s="14"/>
      <c r="AV14" s="14"/>
      <c r="AW14" s="14"/>
      <c r="AX14" s="14"/>
      <c r="AY14" s="14"/>
      <c r="AZ14" s="14"/>
      <c r="BC14" s="31" t="str">
        <f t="shared" si="10"/>
        <v/>
      </c>
      <c r="BD14" s="31" t="str">
        <f t="shared" si="11"/>
        <v/>
      </c>
      <c r="BE14" s="31" t="str">
        <f t="shared" si="12"/>
        <v/>
      </c>
      <c r="BF14" s="31" t="str">
        <f t="shared" si="13"/>
        <v/>
      </c>
      <c r="BG14" s="31" t="str">
        <f t="shared" si="14"/>
        <v>Y</v>
      </c>
      <c r="BH14" s="31" t="str">
        <f t="shared" si="15"/>
        <v/>
      </c>
      <c r="BI14" s="31" t="str">
        <f t="shared" si="16"/>
        <v/>
      </c>
      <c r="BJ14" s="30" t="str">
        <f t="shared" si="17"/>
        <v/>
      </c>
      <c r="BK14" s="31" t="str">
        <f t="shared" si="18"/>
        <v>Y</v>
      </c>
      <c r="BL14" s="30" t="str">
        <f t="shared" si="19"/>
        <v/>
      </c>
      <c r="BM14" s="31" t="str">
        <f t="shared" si="20"/>
        <v/>
      </c>
      <c r="BN14" s="31" t="str">
        <f t="shared" si="21"/>
        <v/>
      </c>
      <c r="BO14" s="31" t="str">
        <f t="shared" si="22"/>
        <v>Y</v>
      </c>
      <c r="BP14" s="31" t="str">
        <f t="shared" si="23"/>
        <v/>
      </c>
      <c r="BQ14" s="31" t="str">
        <f t="shared" si="24"/>
        <v/>
      </c>
      <c r="BR14" s="31" t="str">
        <f t="shared" si="25"/>
        <v/>
      </c>
      <c r="BS14" s="31" t="str">
        <f t="shared" si="26"/>
        <v/>
      </c>
      <c r="BT14" s="31" t="str">
        <f t="shared" si="27"/>
        <v/>
      </c>
      <c r="BU14" s="30" t="str">
        <f t="shared" si="28"/>
        <v>Y</v>
      </c>
      <c r="BV14" s="39" t="str">
        <f t="shared" si="29"/>
        <v/>
      </c>
      <c r="BW14" s="3" t="s">
        <v>235</v>
      </c>
      <c r="BX14" s="16"/>
    </row>
    <row r="15" spans="1:76" x14ac:dyDescent="0.35">
      <c r="A15" s="11" t="s">
        <v>25</v>
      </c>
      <c r="B15" s="3" t="s">
        <v>46</v>
      </c>
      <c r="C15" s="12"/>
      <c r="D15" s="59"/>
      <c r="E15" s="13"/>
      <c r="F15" s="13"/>
      <c r="G15" s="13"/>
      <c r="H15" s="13" t="s">
        <v>7</v>
      </c>
      <c r="I15" s="13"/>
      <c r="J15" s="13"/>
      <c r="K15" s="13"/>
      <c r="L15" s="13"/>
      <c r="N15" s="13"/>
      <c r="Q15" s="13"/>
      <c r="R15" s="13"/>
      <c r="S15" s="13"/>
      <c r="V15" s="13"/>
      <c r="W15" s="13"/>
      <c r="X15" s="13"/>
      <c r="Y15" s="13"/>
      <c r="Z15" s="13"/>
      <c r="AA15" s="13"/>
      <c r="AB15" s="13"/>
      <c r="AD15" s="13"/>
      <c r="AE15" s="13"/>
      <c r="AF15" s="13"/>
      <c r="AG15" s="13"/>
      <c r="AH15" s="12"/>
      <c r="AI15" s="13"/>
      <c r="AJ15" s="14"/>
      <c r="AK15" s="13" t="s">
        <v>7</v>
      </c>
      <c r="AL15" s="13"/>
      <c r="AM15" s="15"/>
      <c r="AN15" s="149"/>
      <c r="AO15" s="14"/>
      <c r="AP15" s="14"/>
      <c r="AQ15" s="14" t="s">
        <v>7</v>
      </c>
      <c r="AR15" s="14"/>
      <c r="AS15" s="15"/>
      <c r="AT15" s="14"/>
      <c r="AU15" s="14"/>
      <c r="AV15" s="14"/>
      <c r="AW15" s="14"/>
      <c r="AX15" s="14"/>
      <c r="AY15" s="14"/>
      <c r="AZ15" s="14" t="s">
        <v>7</v>
      </c>
      <c r="BC15" s="31" t="str">
        <f t="shared" si="10"/>
        <v/>
      </c>
      <c r="BD15" s="31" t="str">
        <f t="shared" si="11"/>
        <v/>
      </c>
      <c r="BE15" s="31" t="str">
        <f t="shared" si="12"/>
        <v/>
      </c>
      <c r="BF15" s="31" t="str">
        <f t="shared" si="13"/>
        <v/>
      </c>
      <c r="BG15" s="31" t="str">
        <f t="shared" si="14"/>
        <v/>
      </c>
      <c r="BH15" s="31" t="str">
        <f t="shared" si="15"/>
        <v/>
      </c>
      <c r="BI15" s="31" t="str">
        <f t="shared" si="16"/>
        <v>Y</v>
      </c>
      <c r="BJ15" s="30" t="str">
        <f t="shared" si="17"/>
        <v/>
      </c>
      <c r="BK15" s="31" t="str">
        <f t="shared" si="18"/>
        <v>Y</v>
      </c>
      <c r="BL15" s="30" t="str">
        <f t="shared" si="19"/>
        <v/>
      </c>
      <c r="BM15" s="31" t="str">
        <f t="shared" si="20"/>
        <v/>
      </c>
      <c r="BN15" s="31" t="str">
        <f t="shared" si="21"/>
        <v/>
      </c>
      <c r="BO15" s="31" t="str">
        <f t="shared" si="22"/>
        <v/>
      </c>
      <c r="BP15" s="31" t="str">
        <f t="shared" si="23"/>
        <v/>
      </c>
      <c r="BQ15" s="31" t="str">
        <f t="shared" si="24"/>
        <v/>
      </c>
      <c r="BR15" s="31" t="str">
        <f t="shared" si="25"/>
        <v/>
      </c>
      <c r="BS15" s="31" t="str">
        <f t="shared" si="26"/>
        <v>Y</v>
      </c>
      <c r="BT15" s="31" t="str">
        <f t="shared" si="27"/>
        <v/>
      </c>
      <c r="BU15" s="30" t="str">
        <f t="shared" si="28"/>
        <v/>
      </c>
      <c r="BV15" s="39" t="str">
        <f t="shared" si="29"/>
        <v>Y</v>
      </c>
      <c r="BW15" s="3" t="s">
        <v>181</v>
      </c>
      <c r="BX15" s="16"/>
    </row>
    <row r="16" spans="1:76" x14ac:dyDescent="0.35">
      <c r="A16" s="11" t="s">
        <v>26</v>
      </c>
      <c r="B16" s="3" t="s">
        <v>14</v>
      </c>
      <c r="C16" s="12"/>
      <c r="D16" s="59"/>
      <c r="E16" s="13"/>
      <c r="F16" s="13"/>
      <c r="G16" s="13"/>
      <c r="H16" s="13" t="s">
        <v>7</v>
      </c>
      <c r="I16" s="13"/>
      <c r="J16" s="13"/>
      <c r="K16" s="13"/>
      <c r="L16" s="13"/>
      <c r="N16" s="13"/>
      <c r="Q16" s="13"/>
      <c r="R16" s="13"/>
      <c r="S16" s="13"/>
      <c r="V16" s="13"/>
      <c r="W16" s="13"/>
      <c r="X16" s="13"/>
      <c r="Y16" s="13"/>
      <c r="Z16" s="13"/>
      <c r="AA16" s="13"/>
      <c r="AB16" s="13"/>
      <c r="AD16" s="13"/>
      <c r="AE16" s="13"/>
      <c r="AF16" s="13"/>
      <c r="AG16" s="13"/>
      <c r="AH16" s="12"/>
      <c r="AI16" s="13"/>
      <c r="AJ16" s="14"/>
      <c r="AK16" s="13" t="s">
        <v>7</v>
      </c>
      <c r="AL16" s="13"/>
      <c r="AM16" s="15"/>
      <c r="AN16" s="149"/>
      <c r="AO16" s="14"/>
      <c r="AP16" s="14"/>
      <c r="AQ16" s="14" t="s">
        <v>7</v>
      </c>
      <c r="AR16" s="14"/>
      <c r="AS16" s="15"/>
      <c r="AT16" s="14"/>
      <c r="AU16" s="14"/>
      <c r="AV16" s="14"/>
      <c r="AW16" s="14"/>
      <c r="AX16" s="14"/>
      <c r="AY16" s="14" t="s">
        <v>7</v>
      </c>
      <c r="AZ16" s="14"/>
      <c r="BC16" s="31" t="str">
        <f t="shared" si="10"/>
        <v/>
      </c>
      <c r="BD16" s="31" t="str">
        <f t="shared" si="11"/>
        <v/>
      </c>
      <c r="BE16" s="31" t="str">
        <f t="shared" si="12"/>
        <v/>
      </c>
      <c r="BF16" s="31" t="str">
        <f t="shared" si="13"/>
        <v/>
      </c>
      <c r="BG16" s="31" t="str">
        <f t="shared" si="14"/>
        <v/>
      </c>
      <c r="BH16" s="31" t="str">
        <f t="shared" si="15"/>
        <v/>
      </c>
      <c r="BI16" s="31" t="str">
        <f t="shared" si="16"/>
        <v>Y</v>
      </c>
      <c r="BJ16" s="30" t="str">
        <f t="shared" si="17"/>
        <v/>
      </c>
      <c r="BK16" s="31" t="str">
        <f t="shared" si="18"/>
        <v>Y</v>
      </c>
      <c r="BL16" s="30" t="str">
        <f t="shared" si="19"/>
        <v/>
      </c>
      <c r="BM16" s="31" t="str">
        <f t="shared" si="20"/>
        <v/>
      </c>
      <c r="BN16" s="31" t="str">
        <f t="shared" si="21"/>
        <v/>
      </c>
      <c r="BO16" s="31" t="str">
        <f t="shared" si="22"/>
        <v/>
      </c>
      <c r="BP16" s="31" t="str">
        <f t="shared" si="23"/>
        <v/>
      </c>
      <c r="BQ16" s="31" t="str">
        <f t="shared" si="24"/>
        <v/>
      </c>
      <c r="BR16" s="31" t="str">
        <f t="shared" si="25"/>
        <v/>
      </c>
      <c r="BS16" s="31" t="str">
        <f t="shared" si="26"/>
        <v>Y</v>
      </c>
      <c r="BT16" s="31" t="str">
        <f t="shared" si="27"/>
        <v/>
      </c>
      <c r="BU16" s="30" t="str">
        <f t="shared" si="28"/>
        <v/>
      </c>
      <c r="BV16" s="39" t="str">
        <f t="shared" si="29"/>
        <v>Y</v>
      </c>
      <c r="BW16" s="3" t="s">
        <v>339</v>
      </c>
    </row>
    <row r="17" spans="1:76" x14ac:dyDescent="0.35">
      <c r="A17" s="11" t="s">
        <v>27</v>
      </c>
      <c r="B17" s="3" t="s">
        <v>46</v>
      </c>
      <c r="C17" s="12" t="s">
        <v>7</v>
      </c>
      <c r="D17" s="59"/>
      <c r="E17" s="13"/>
      <c r="F17" s="13"/>
      <c r="G17" s="13"/>
      <c r="H17" s="13"/>
      <c r="I17" s="13"/>
      <c r="J17" s="13"/>
      <c r="K17" s="13"/>
      <c r="L17" s="13"/>
      <c r="N17" s="13"/>
      <c r="Q17" s="13"/>
      <c r="R17" s="13"/>
      <c r="S17" s="13"/>
      <c r="V17" s="13"/>
      <c r="W17" s="13" t="s">
        <v>7</v>
      </c>
      <c r="X17" s="13"/>
      <c r="Y17" s="13"/>
      <c r="Z17" s="13"/>
      <c r="AA17" s="13"/>
      <c r="AB17" s="13"/>
      <c r="AD17" s="13"/>
      <c r="AE17" s="13"/>
      <c r="AF17" s="13"/>
      <c r="AG17" s="13"/>
      <c r="AH17" s="12"/>
      <c r="AI17" s="13"/>
      <c r="AJ17" s="14"/>
      <c r="AK17" s="13" t="s">
        <v>7</v>
      </c>
      <c r="AL17" s="13" t="s">
        <v>7</v>
      </c>
      <c r="AM17" s="15"/>
      <c r="AN17" s="149"/>
      <c r="AO17" s="14"/>
      <c r="AP17" s="14"/>
      <c r="AQ17" s="14" t="s">
        <v>7</v>
      </c>
      <c r="AR17" s="14"/>
      <c r="AS17" s="15"/>
      <c r="AT17" s="14"/>
      <c r="AU17" s="14"/>
      <c r="AV17" s="14"/>
      <c r="AW17" s="14"/>
      <c r="AX17" s="14"/>
      <c r="AY17" s="14"/>
      <c r="AZ17" s="14" t="s">
        <v>7</v>
      </c>
      <c r="BC17" s="31" t="str">
        <f t="shared" si="10"/>
        <v/>
      </c>
      <c r="BD17" s="31" t="str">
        <f t="shared" si="11"/>
        <v>Y</v>
      </c>
      <c r="BE17" s="31" t="str">
        <f t="shared" si="12"/>
        <v/>
      </c>
      <c r="BF17" s="31" t="str">
        <f t="shared" si="13"/>
        <v/>
      </c>
      <c r="BG17" s="31" t="str">
        <f t="shared" si="14"/>
        <v>Y</v>
      </c>
      <c r="BH17" s="31" t="str">
        <f t="shared" si="15"/>
        <v/>
      </c>
      <c r="BI17" s="31" t="str">
        <f t="shared" si="16"/>
        <v/>
      </c>
      <c r="BJ17" s="30" t="str">
        <f t="shared" si="17"/>
        <v>Y</v>
      </c>
      <c r="BK17" s="31" t="str">
        <f t="shared" si="18"/>
        <v>Y</v>
      </c>
      <c r="BL17" s="30" t="str">
        <f t="shared" si="19"/>
        <v/>
      </c>
      <c r="BM17" s="31" t="str">
        <f t="shared" si="20"/>
        <v/>
      </c>
      <c r="BN17" s="31" t="str">
        <f t="shared" si="21"/>
        <v/>
      </c>
      <c r="BO17" s="31" t="str">
        <f t="shared" si="22"/>
        <v>Y</v>
      </c>
      <c r="BP17" s="31" t="str">
        <f t="shared" si="23"/>
        <v>Y</v>
      </c>
      <c r="BQ17" s="31" t="str">
        <f t="shared" si="24"/>
        <v/>
      </c>
      <c r="BR17" s="31" t="str">
        <f t="shared" si="25"/>
        <v/>
      </c>
      <c r="BS17" s="31" t="str">
        <f t="shared" si="26"/>
        <v/>
      </c>
      <c r="BT17" s="31" t="str">
        <f t="shared" si="27"/>
        <v/>
      </c>
      <c r="BU17" s="30" t="str">
        <f t="shared" si="28"/>
        <v>Y</v>
      </c>
      <c r="BV17" s="39" t="str">
        <f t="shared" si="29"/>
        <v>Y</v>
      </c>
      <c r="BW17" s="3" t="s">
        <v>237</v>
      </c>
    </row>
    <row r="18" spans="1:76" x14ac:dyDescent="0.35">
      <c r="A18" s="11" t="s">
        <v>29</v>
      </c>
      <c r="B18" s="3" t="s">
        <v>30</v>
      </c>
      <c r="C18" s="12"/>
      <c r="D18" s="59"/>
      <c r="E18" s="13"/>
      <c r="F18" s="13"/>
      <c r="G18" s="13"/>
      <c r="H18" s="13"/>
      <c r="I18" s="13"/>
      <c r="J18" s="13"/>
      <c r="K18" s="13"/>
      <c r="L18" s="13"/>
      <c r="N18" s="13"/>
      <c r="P18" s="13" t="s">
        <v>7</v>
      </c>
      <c r="Q18" s="13"/>
      <c r="R18" s="13"/>
      <c r="S18" s="13"/>
      <c r="V18" s="13"/>
      <c r="W18" s="13"/>
      <c r="X18" s="13"/>
      <c r="Y18" s="13"/>
      <c r="Z18" s="13"/>
      <c r="AA18" s="13"/>
      <c r="AB18" s="13"/>
      <c r="AD18" s="13"/>
      <c r="AE18" s="13"/>
      <c r="AF18" s="13"/>
      <c r="AG18" s="13"/>
      <c r="AH18" s="12"/>
      <c r="AI18" s="13"/>
      <c r="AJ18" s="14" t="s">
        <v>7</v>
      </c>
      <c r="AK18" s="13"/>
      <c r="AL18" s="13"/>
      <c r="AM18" s="15"/>
      <c r="AN18" s="149"/>
      <c r="AO18" s="14"/>
      <c r="AP18" s="14"/>
      <c r="AQ18" s="14" t="s">
        <v>7</v>
      </c>
      <c r="AR18" s="14"/>
      <c r="AS18" s="15"/>
      <c r="AT18" s="14"/>
      <c r="AU18" s="14"/>
      <c r="AV18" s="14" t="s">
        <v>7</v>
      </c>
      <c r="AW18" s="14"/>
      <c r="AX18" s="14"/>
      <c r="AY18" s="14"/>
      <c r="AZ18" s="14"/>
      <c r="BC18" s="31" t="str">
        <f t="shared" si="10"/>
        <v>Y</v>
      </c>
      <c r="BD18" s="31" t="str">
        <f t="shared" si="11"/>
        <v/>
      </c>
      <c r="BE18" s="31" t="str">
        <f t="shared" si="12"/>
        <v/>
      </c>
      <c r="BF18" s="31" t="str">
        <f t="shared" si="13"/>
        <v/>
      </c>
      <c r="BG18" s="31" t="str">
        <f t="shared" si="14"/>
        <v/>
      </c>
      <c r="BH18" s="31" t="str">
        <f t="shared" si="15"/>
        <v/>
      </c>
      <c r="BI18" s="31" t="str">
        <f t="shared" si="16"/>
        <v/>
      </c>
      <c r="BJ18" s="30" t="str">
        <f t="shared" si="17"/>
        <v>Y</v>
      </c>
      <c r="BK18" s="31" t="str">
        <f t="shared" si="18"/>
        <v/>
      </c>
      <c r="BL18" s="30" t="str">
        <f t="shared" si="19"/>
        <v>Y</v>
      </c>
      <c r="BM18" s="31" t="str">
        <f t="shared" si="20"/>
        <v/>
      </c>
      <c r="BN18" s="31" t="str">
        <f t="shared" si="21"/>
        <v/>
      </c>
      <c r="BO18" s="31" t="str">
        <f t="shared" si="22"/>
        <v/>
      </c>
      <c r="BP18" s="31" t="str">
        <f t="shared" si="23"/>
        <v/>
      </c>
      <c r="BQ18" s="31" t="str">
        <f t="shared" si="24"/>
        <v/>
      </c>
      <c r="BR18" s="31" t="str">
        <f t="shared" si="25"/>
        <v/>
      </c>
      <c r="BS18" s="31" t="str">
        <f t="shared" si="26"/>
        <v/>
      </c>
      <c r="BT18" s="31" t="str">
        <f t="shared" si="27"/>
        <v/>
      </c>
      <c r="BU18" s="30" t="str">
        <f t="shared" si="28"/>
        <v>Y</v>
      </c>
      <c r="BV18" s="39" t="str">
        <f t="shared" si="29"/>
        <v/>
      </c>
      <c r="BW18" s="3" t="s">
        <v>182</v>
      </c>
    </row>
    <row r="19" spans="1:76" x14ac:dyDescent="0.35">
      <c r="A19" s="11" t="s">
        <v>31</v>
      </c>
      <c r="B19" s="3" t="s">
        <v>12</v>
      </c>
      <c r="C19" s="12"/>
      <c r="D19" s="59"/>
      <c r="E19" s="13"/>
      <c r="F19" s="13"/>
      <c r="G19" s="13"/>
      <c r="H19" s="13"/>
      <c r="I19" s="13"/>
      <c r="J19" s="13"/>
      <c r="K19" s="13"/>
      <c r="L19" s="13"/>
      <c r="N19" s="13"/>
      <c r="Q19" s="13"/>
      <c r="R19" s="13"/>
      <c r="S19" s="13"/>
      <c r="T19" s="28" t="s">
        <v>7</v>
      </c>
      <c r="V19" s="13"/>
      <c r="W19" s="13"/>
      <c r="X19" s="13"/>
      <c r="Y19" s="13"/>
      <c r="Z19" s="13"/>
      <c r="AA19" s="13"/>
      <c r="AB19" s="13"/>
      <c r="AD19" s="13"/>
      <c r="AE19" s="13"/>
      <c r="AF19" s="13"/>
      <c r="AG19" s="13"/>
      <c r="AH19" s="12"/>
      <c r="AI19" s="13"/>
      <c r="AJ19" s="14"/>
      <c r="AK19" s="13" t="s">
        <v>7</v>
      </c>
      <c r="AL19" s="13"/>
      <c r="AM19" s="15"/>
      <c r="AN19" s="149"/>
      <c r="AO19" s="14"/>
      <c r="AP19" s="14"/>
      <c r="AQ19" s="14"/>
      <c r="AR19" s="14" t="s">
        <v>7</v>
      </c>
      <c r="AS19" s="15" t="s">
        <v>7</v>
      </c>
      <c r="AT19" s="14"/>
      <c r="AU19" s="14"/>
      <c r="AV19" s="14"/>
      <c r="AW19" s="14"/>
      <c r="AX19" s="14"/>
      <c r="AY19" s="14"/>
      <c r="AZ19" s="14"/>
      <c r="BC19" s="31" t="str">
        <f t="shared" si="10"/>
        <v/>
      </c>
      <c r="BD19" s="31" t="str">
        <f t="shared" si="11"/>
        <v/>
      </c>
      <c r="BE19" s="31" t="str">
        <f t="shared" si="12"/>
        <v/>
      </c>
      <c r="BF19" s="31" t="str">
        <f t="shared" si="13"/>
        <v/>
      </c>
      <c r="BG19" s="31" t="str">
        <f t="shared" si="14"/>
        <v/>
      </c>
      <c r="BH19" s="31" t="str">
        <f t="shared" si="15"/>
        <v/>
      </c>
      <c r="BI19" s="31" t="str">
        <f t="shared" si="16"/>
        <v>Y</v>
      </c>
      <c r="BJ19" s="30" t="str">
        <f t="shared" si="17"/>
        <v/>
      </c>
      <c r="BK19" s="31" t="str">
        <f t="shared" si="18"/>
        <v>Y</v>
      </c>
      <c r="BL19" s="30" t="str">
        <f t="shared" si="19"/>
        <v/>
      </c>
      <c r="BM19" s="31" t="str">
        <f t="shared" si="20"/>
        <v/>
      </c>
      <c r="BN19" s="31" t="str">
        <f t="shared" si="21"/>
        <v/>
      </c>
      <c r="BO19" s="31" t="str">
        <f t="shared" si="22"/>
        <v/>
      </c>
      <c r="BP19" s="31" t="str">
        <f t="shared" si="23"/>
        <v/>
      </c>
      <c r="BQ19" s="31" t="str">
        <f t="shared" si="24"/>
        <v>Y</v>
      </c>
      <c r="BR19" s="31" t="str">
        <f t="shared" si="25"/>
        <v/>
      </c>
      <c r="BS19" s="31" t="str">
        <f t="shared" si="26"/>
        <v/>
      </c>
      <c r="BT19" s="31" t="str">
        <f t="shared" si="27"/>
        <v/>
      </c>
      <c r="BU19" s="30" t="str">
        <f t="shared" si="28"/>
        <v/>
      </c>
      <c r="BV19" s="39" t="str">
        <f t="shared" si="29"/>
        <v>Y</v>
      </c>
      <c r="BW19" s="3" t="s">
        <v>183</v>
      </c>
    </row>
    <row r="20" spans="1:76" ht="58" x14ac:dyDescent="0.35">
      <c r="A20" s="11" t="s">
        <v>32</v>
      </c>
      <c r="B20" s="3" t="s">
        <v>172</v>
      </c>
      <c r="C20" s="12" t="s">
        <v>7</v>
      </c>
      <c r="D20" s="59" t="s">
        <v>7</v>
      </c>
      <c r="E20" s="13"/>
      <c r="F20" s="11" t="s">
        <v>7</v>
      </c>
      <c r="G20" s="13"/>
      <c r="H20" s="13"/>
      <c r="I20" s="13"/>
      <c r="J20" s="13"/>
      <c r="K20" s="13"/>
      <c r="L20" s="13" t="s">
        <v>7</v>
      </c>
      <c r="M20" s="13" t="s">
        <v>7</v>
      </c>
      <c r="N20" s="13"/>
      <c r="Q20" s="13"/>
      <c r="R20" s="13"/>
      <c r="S20" s="13"/>
      <c r="T20" s="28" t="s">
        <v>7</v>
      </c>
      <c r="V20" s="13"/>
      <c r="W20" s="13" t="s">
        <v>7</v>
      </c>
      <c r="X20" s="13" t="s">
        <v>7</v>
      </c>
      <c r="Y20" s="13"/>
      <c r="Z20" s="13"/>
      <c r="AA20" s="13"/>
      <c r="AB20" s="13" t="s">
        <v>7</v>
      </c>
      <c r="AD20" s="13"/>
      <c r="AE20" s="13"/>
      <c r="AF20" s="13"/>
      <c r="AG20" s="13" t="s">
        <v>7</v>
      </c>
      <c r="AH20" s="12"/>
      <c r="AI20" s="13"/>
      <c r="AJ20" s="14"/>
      <c r="AK20" s="13" t="s">
        <v>7</v>
      </c>
      <c r="AL20" s="13" t="s">
        <v>7</v>
      </c>
      <c r="AM20" s="15"/>
      <c r="AN20" s="149"/>
      <c r="AO20" s="14"/>
      <c r="AP20" s="14"/>
      <c r="AQ20" s="14" t="s">
        <v>7</v>
      </c>
      <c r="AR20" s="14"/>
      <c r="AS20" s="15"/>
      <c r="AT20" s="14"/>
      <c r="AU20" s="14"/>
      <c r="AV20" s="14"/>
      <c r="AW20" s="14"/>
      <c r="AX20" s="14"/>
      <c r="AY20" s="14"/>
      <c r="AZ20" s="14" t="s">
        <v>7</v>
      </c>
      <c r="BC20" s="31" t="str">
        <f t="shared" si="10"/>
        <v>Y</v>
      </c>
      <c r="BD20" s="31" t="str">
        <f t="shared" si="11"/>
        <v>Y</v>
      </c>
      <c r="BE20" s="31" t="str">
        <f t="shared" si="12"/>
        <v/>
      </c>
      <c r="BF20" s="31" t="str">
        <f t="shared" si="13"/>
        <v/>
      </c>
      <c r="BG20" s="31" t="str">
        <f t="shared" si="14"/>
        <v>Y</v>
      </c>
      <c r="BH20" s="31" t="str">
        <f t="shared" si="15"/>
        <v>Y</v>
      </c>
      <c r="BI20" s="31" t="str">
        <f t="shared" si="16"/>
        <v>Y</v>
      </c>
      <c r="BJ20" s="30" t="str">
        <f t="shared" si="17"/>
        <v>Y</v>
      </c>
      <c r="BK20" s="31" t="str">
        <f t="shared" si="18"/>
        <v>Y</v>
      </c>
      <c r="BL20" s="30" t="str">
        <f t="shared" si="19"/>
        <v/>
      </c>
      <c r="BM20" s="31" t="str">
        <f t="shared" si="20"/>
        <v>Y</v>
      </c>
      <c r="BN20" s="31" t="str">
        <f t="shared" si="21"/>
        <v>Y</v>
      </c>
      <c r="BO20" s="31" t="str">
        <f t="shared" si="22"/>
        <v>Y</v>
      </c>
      <c r="BP20" s="31" t="str">
        <f t="shared" si="23"/>
        <v>Y</v>
      </c>
      <c r="BQ20" s="31" t="str">
        <f t="shared" si="24"/>
        <v>Y</v>
      </c>
      <c r="BR20" s="31" t="str">
        <f t="shared" si="25"/>
        <v>Y</v>
      </c>
      <c r="BS20" s="31" t="str">
        <f t="shared" si="26"/>
        <v/>
      </c>
      <c r="BT20" s="31" t="str">
        <f t="shared" si="27"/>
        <v>Y</v>
      </c>
      <c r="BU20" s="30" t="str">
        <f t="shared" si="28"/>
        <v>Y</v>
      </c>
      <c r="BV20" s="39" t="str">
        <f t="shared" si="29"/>
        <v>Y</v>
      </c>
      <c r="BW20" s="3" t="s">
        <v>431</v>
      </c>
    </row>
    <row r="21" spans="1:76" x14ac:dyDescent="0.35">
      <c r="A21" s="11" t="s">
        <v>33</v>
      </c>
      <c r="B21" s="3" t="s">
        <v>30</v>
      </c>
      <c r="C21" s="12"/>
      <c r="D21" s="59"/>
      <c r="E21" s="13"/>
      <c r="F21" s="13"/>
      <c r="G21" s="13"/>
      <c r="H21" s="13" t="s">
        <v>7</v>
      </c>
      <c r="I21" s="13"/>
      <c r="J21" s="13"/>
      <c r="K21" s="13"/>
      <c r="L21" s="13"/>
      <c r="N21" s="13" t="s">
        <v>7</v>
      </c>
      <c r="P21" s="13" t="s">
        <v>7</v>
      </c>
      <c r="Q21" s="13"/>
      <c r="R21" s="13"/>
      <c r="S21" s="13"/>
      <c r="V21" s="13"/>
      <c r="W21" s="13"/>
      <c r="X21" s="13"/>
      <c r="Y21" s="13"/>
      <c r="Z21" s="13"/>
      <c r="AA21" s="13"/>
      <c r="AB21" s="13"/>
      <c r="AD21" s="13"/>
      <c r="AE21" s="13"/>
      <c r="AF21" s="13"/>
      <c r="AG21" s="13"/>
      <c r="AH21" s="12"/>
      <c r="AI21" s="13" t="s">
        <v>7</v>
      </c>
      <c r="AJ21" s="14" t="s">
        <v>7</v>
      </c>
      <c r="AK21" s="13" t="s">
        <v>7</v>
      </c>
      <c r="AL21" s="13"/>
      <c r="AM21" s="15"/>
      <c r="AN21" s="149"/>
      <c r="AO21" s="14"/>
      <c r="AP21" s="14"/>
      <c r="AQ21" s="14" t="s">
        <v>7</v>
      </c>
      <c r="AR21" s="14"/>
      <c r="AS21" s="15"/>
      <c r="AT21" s="14"/>
      <c r="AU21" s="14"/>
      <c r="AV21" s="14" t="s">
        <v>7</v>
      </c>
      <c r="AW21" s="14"/>
      <c r="AX21" s="14"/>
      <c r="AY21" s="14"/>
      <c r="AZ21" s="14"/>
      <c r="BC21" s="31" t="str">
        <f t="shared" si="10"/>
        <v>Y</v>
      </c>
      <c r="BD21" s="31" t="str">
        <f t="shared" si="11"/>
        <v/>
      </c>
      <c r="BE21" s="31" t="str">
        <f t="shared" si="12"/>
        <v/>
      </c>
      <c r="BF21" s="31" t="str">
        <f t="shared" si="13"/>
        <v/>
      </c>
      <c r="BG21" s="31" t="str">
        <f t="shared" si="14"/>
        <v/>
      </c>
      <c r="BH21" s="31" t="str">
        <f t="shared" si="15"/>
        <v/>
      </c>
      <c r="BI21" s="31" t="str">
        <f t="shared" si="16"/>
        <v>Y</v>
      </c>
      <c r="BJ21" s="30" t="str">
        <f t="shared" si="17"/>
        <v>Y</v>
      </c>
      <c r="BK21" s="31" t="str">
        <f t="shared" si="18"/>
        <v>Y</v>
      </c>
      <c r="BL21" s="30" t="str">
        <f t="shared" si="19"/>
        <v>Y</v>
      </c>
      <c r="BM21" s="31" t="str">
        <f t="shared" si="20"/>
        <v/>
      </c>
      <c r="BN21" s="31" t="str">
        <f t="shared" si="21"/>
        <v/>
      </c>
      <c r="BO21" s="31" t="str">
        <f t="shared" si="22"/>
        <v/>
      </c>
      <c r="BP21" s="31" t="str">
        <f t="shared" si="23"/>
        <v/>
      </c>
      <c r="BQ21" s="31" t="str">
        <f t="shared" si="24"/>
        <v>Y</v>
      </c>
      <c r="BR21" s="31" t="str">
        <f t="shared" si="25"/>
        <v/>
      </c>
      <c r="BS21" s="31" t="str">
        <f t="shared" si="26"/>
        <v>Y</v>
      </c>
      <c r="BT21" s="31" t="str">
        <f t="shared" si="27"/>
        <v/>
      </c>
      <c r="BU21" s="30" t="str">
        <f t="shared" si="28"/>
        <v>Y</v>
      </c>
      <c r="BV21" s="39" t="str">
        <f t="shared" si="29"/>
        <v>Y</v>
      </c>
      <c r="BW21" s="3" t="s">
        <v>184</v>
      </c>
    </row>
    <row r="22" spans="1:76" x14ac:dyDescent="0.35">
      <c r="A22" s="11" t="s">
        <v>34</v>
      </c>
      <c r="B22" s="3" t="s">
        <v>24</v>
      </c>
      <c r="C22" s="12" t="s">
        <v>7</v>
      </c>
      <c r="D22" s="59"/>
      <c r="E22" s="13"/>
      <c r="F22" s="13"/>
      <c r="G22" s="13"/>
      <c r="H22" s="13"/>
      <c r="I22" s="13"/>
      <c r="J22" s="13"/>
      <c r="K22" s="13"/>
      <c r="L22" s="13"/>
      <c r="N22" s="13"/>
      <c r="Q22" s="13"/>
      <c r="R22" s="13"/>
      <c r="S22" s="13"/>
      <c r="V22" s="13"/>
      <c r="W22" s="13"/>
      <c r="X22" s="13"/>
      <c r="Y22" s="13"/>
      <c r="Z22" s="13"/>
      <c r="AA22" s="13"/>
      <c r="AB22" s="13"/>
      <c r="AD22" s="13"/>
      <c r="AE22" s="13"/>
      <c r="AF22" s="13"/>
      <c r="AG22" s="13"/>
      <c r="AH22" s="12"/>
      <c r="AI22" s="13"/>
      <c r="AJ22" s="14"/>
      <c r="AK22" s="13" t="s">
        <v>7</v>
      </c>
      <c r="AL22" s="13"/>
      <c r="AM22" s="15"/>
      <c r="AN22" s="149"/>
      <c r="AO22" s="14"/>
      <c r="AP22" s="14"/>
      <c r="AQ22" s="14" t="s">
        <v>7</v>
      </c>
      <c r="AR22" s="14"/>
      <c r="AS22" s="15"/>
      <c r="AT22" s="14"/>
      <c r="AU22" s="14"/>
      <c r="AV22" s="14"/>
      <c r="AW22" s="14"/>
      <c r="AX22" s="14"/>
      <c r="AY22" s="14"/>
      <c r="AZ22" s="14" t="s">
        <v>7</v>
      </c>
      <c r="BC22" s="31" t="str">
        <f t="shared" si="10"/>
        <v/>
      </c>
      <c r="BD22" s="31" t="str">
        <f t="shared" si="11"/>
        <v/>
      </c>
      <c r="BE22" s="31" t="str">
        <f t="shared" si="12"/>
        <v/>
      </c>
      <c r="BF22" s="31" t="str">
        <f t="shared" si="13"/>
        <v/>
      </c>
      <c r="BG22" s="31" t="str">
        <f t="shared" si="14"/>
        <v>Y</v>
      </c>
      <c r="BH22" s="31" t="str">
        <f t="shared" si="15"/>
        <v/>
      </c>
      <c r="BI22" s="31" t="str">
        <f t="shared" si="16"/>
        <v/>
      </c>
      <c r="BJ22" s="30" t="str">
        <f t="shared" si="17"/>
        <v/>
      </c>
      <c r="BK22" s="31" t="str">
        <f t="shared" si="18"/>
        <v>Y</v>
      </c>
      <c r="BL22" s="30" t="str">
        <f t="shared" si="19"/>
        <v/>
      </c>
      <c r="BM22" s="31" t="str">
        <f t="shared" si="20"/>
        <v/>
      </c>
      <c r="BN22" s="31" t="str">
        <f t="shared" si="21"/>
        <v/>
      </c>
      <c r="BO22" s="31" t="str">
        <f t="shared" si="22"/>
        <v>Y</v>
      </c>
      <c r="BP22" s="31" t="str">
        <f t="shared" si="23"/>
        <v/>
      </c>
      <c r="BQ22" s="31" t="str">
        <f t="shared" si="24"/>
        <v/>
      </c>
      <c r="BR22" s="31" t="str">
        <f t="shared" si="25"/>
        <v/>
      </c>
      <c r="BS22" s="31" t="str">
        <f t="shared" si="26"/>
        <v/>
      </c>
      <c r="BT22" s="31" t="str">
        <f t="shared" si="27"/>
        <v/>
      </c>
      <c r="BU22" s="30" t="str">
        <f t="shared" si="28"/>
        <v>Y</v>
      </c>
      <c r="BV22" s="39" t="str">
        <f t="shared" si="29"/>
        <v/>
      </c>
      <c r="BW22" s="3" t="s">
        <v>186</v>
      </c>
    </row>
    <row r="23" spans="1:76" ht="29" x14ac:dyDescent="0.35">
      <c r="A23" s="11" t="s">
        <v>35</v>
      </c>
      <c r="B23" s="3" t="s">
        <v>30</v>
      </c>
      <c r="C23" s="12" t="s">
        <v>7</v>
      </c>
      <c r="D23" s="59"/>
      <c r="E23" s="13"/>
      <c r="F23" s="13"/>
      <c r="G23" s="13"/>
      <c r="H23" s="13"/>
      <c r="I23" s="13"/>
      <c r="J23" s="13"/>
      <c r="K23" s="13"/>
      <c r="L23" s="13"/>
      <c r="N23" s="13"/>
      <c r="Q23" s="13"/>
      <c r="R23" s="13"/>
      <c r="S23" s="13"/>
      <c r="V23" s="13"/>
      <c r="W23" s="13"/>
      <c r="X23" s="13"/>
      <c r="Y23" s="13"/>
      <c r="Z23" s="13"/>
      <c r="AA23" s="13"/>
      <c r="AB23" s="13"/>
      <c r="AD23" s="13"/>
      <c r="AE23" s="13"/>
      <c r="AF23" s="13"/>
      <c r="AG23" s="13"/>
      <c r="AH23" s="12"/>
      <c r="AI23" s="13"/>
      <c r="AJ23" s="14"/>
      <c r="AK23" s="13" t="s">
        <v>7</v>
      </c>
      <c r="AL23" s="13"/>
      <c r="AM23" s="15"/>
      <c r="AN23" s="149"/>
      <c r="AO23" s="14"/>
      <c r="AP23" s="14"/>
      <c r="AQ23" s="14" t="s">
        <v>7</v>
      </c>
      <c r="AR23" s="14"/>
      <c r="AS23" s="15"/>
      <c r="AT23" s="14"/>
      <c r="AU23" s="14"/>
      <c r="AV23" s="14" t="s">
        <v>7</v>
      </c>
      <c r="AW23" s="14"/>
      <c r="AX23" s="14"/>
      <c r="AY23" s="14"/>
      <c r="AZ23" s="14"/>
      <c r="BC23" s="31" t="str">
        <f t="shared" si="10"/>
        <v/>
      </c>
      <c r="BD23" s="31" t="str">
        <f t="shared" si="11"/>
        <v/>
      </c>
      <c r="BE23" s="31" t="str">
        <f t="shared" si="12"/>
        <v/>
      </c>
      <c r="BF23" s="31" t="str">
        <f t="shared" si="13"/>
        <v/>
      </c>
      <c r="BG23" s="31" t="str">
        <f t="shared" si="14"/>
        <v>Y</v>
      </c>
      <c r="BH23" s="31" t="str">
        <f t="shared" si="15"/>
        <v/>
      </c>
      <c r="BI23" s="31" t="str">
        <f t="shared" si="16"/>
        <v/>
      </c>
      <c r="BJ23" s="30" t="str">
        <f t="shared" si="17"/>
        <v/>
      </c>
      <c r="BK23" s="31" t="str">
        <f t="shared" si="18"/>
        <v>Y</v>
      </c>
      <c r="BL23" s="30" t="str">
        <f t="shared" si="19"/>
        <v/>
      </c>
      <c r="BM23" s="31" t="str">
        <f t="shared" si="20"/>
        <v/>
      </c>
      <c r="BN23" s="31" t="str">
        <f t="shared" si="21"/>
        <v/>
      </c>
      <c r="BO23" s="31" t="str">
        <f t="shared" si="22"/>
        <v>Y</v>
      </c>
      <c r="BP23" s="31" t="str">
        <f t="shared" si="23"/>
        <v/>
      </c>
      <c r="BQ23" s="31" t="str">
        <f t="shared" si="24"/>
        <v/>
      </c>
      <c r="BR23" s="31" t="str">
        <f t="shared" si="25"/>
        <v/>
      </c>
      <c r="BS23" s="31" t="str">
        <f t="shared" si="26"/>
        <v/>
      </c>
      <c r="BT23" s="31" t="str">
        <f t="shared" si="27"/>
        <v/>
      </c>
      <c r="BU23" s="30" t="str">
        <f t="shared" si="28"/>
        <v>Y</v>
      </c>
      <c r="BV23" s="39" t="str">
        <f t="shared" si="29"/>
        <v/>
      </c>
      <c r="BW23" s="3" t="s">
        <v>238</v>
      </c>
    </row>
    <row r="24" spans="1:76" x14ac:dyDescent="0.35">
      <c r="A24" s="11" t="s">
        <v>36</v>
      </c>
      <c r="B24" s="3" t="s">
        <v>46</v>
      </c>
      <c r="C24" s="12"/>
      <c r="D24" s="59"/>
      <c r="E24" s="13"/>
      <c r="F24" s="13"/>
      <c r="G24" s="13"/>
      <c r="H24" s="13" t="s">
        <v>7</v>
      </c>
      <c r="I24" s="13"/>
      <c r="J24" s="13"/>
      <c r="K24" s="13"/>
      <c r="L24" s="13"/>
      <c r="N24" s="13"/>
      <c r="Q24" s="13"/>
      <c r="R24" s="13"/>
      <c r="S24" s="13"/>
      <c r="V24" s="13"/>
      <c r="W24" s="13"/>
      <c r="X24" s="13"/>
      <c r="Y24" s="13"/>
      <c r="Z24" s="13"/>
      <c r="AA24" s="13"/>
      <c r="AB24" s="13"/>
      <c r="AD24" s="13"/>
      <c r="AE24" s="13"/>
      <c r="AF24" s="13"/>
      <c r="AG24" s="13"/>
      <c r="AH24" s="12"/>
      <c r="AI24" s="13"/>
      <c r="AJ24" s="14"/>
      <c r="AK24" s="13" t="s">
        <v>7</v>
      </c>
      <c r="AL24" s="13"/>
      <c r="AM24" s="15"/>
      <c r="AN24" s="149"/>
      <c r="AO24" s="14"/>
      <c r="AP24" s="14"/>
      <c r="AQ24" s="14" t="s">
        <v>7</v>
      </c>
      <c r="AR24" s="14"/>
      <c r="AS24" s="15"/>
      <c r="AT24" s="14"/>
      <c r="AU24" s="14"/>
      <c r="AV24" s="14"/>
      <c r="AW24" s="14"/>
      <c r="AX24" s="14"/>
      <c r="AY24" s="14"/>
      <c r="AZ24" s="14" t="s">
        <v>7</v>
      </c>
      <c r="BC24" s="31" t="str">
        <f t="shared" si="10"/>
        <v/>
      </c>
      <c r="BD24" s="31" t="str">
        <f t="shared" si="11"/>
        <v/>
      </c>
      <c r="BE24" s="31" t="str">
        <f t="shared" si="12"/>
        <v/>
      </c>
      <c r="BF24" s="31" t="str">
        <f t="shared" si="13"/>
        <v/>
      </c>
      <c r="BG24" s="31" t="str">
        <f t="shared" si="14"/>
        <v/>
      </c>
      <c r="BH24" s="31" t="str">
        <f t="shared" si="15"/>
        <v/>
      </c>
      <c r="BI24" s="31" t="str">
        <f t="shared" si="16"/>
        <v>Y</v>
      </c>
      <c r="BJ24" s="30" t="str">
        <f t="shared" si="17"/>
        <v/>
      </c>
      <c r="BK24" s="31" t="str">
        <f t="shared" si="18"/>
        <v>Y</v>
      </c>
      <c r="BL24" s="30" t="str">
        <f t="shared" si="19"/>
        <v/>
      </c>
      <c r="BM24" s="31" t="str">
        <f t="shared" si="20"/>
        <v/>
      </c>
      <c r="BN24" s="31" t="str">
        <f t="shared" si="21"/>
        <v/>
      </c>
      <c r="BO24" s="31" t="str">
        <f t="shared" si="22"/>
        <v/>
      </c>
      <c r="BP24" s="31" t="str">
        <f t="shared" si="23"/>
        <v/>
      </c>
      <c r="BQ24" s="31" t="str">
        <f t="shared" si="24"/>
        <v/>
      </c>
      <c r="BR24" s="31" t="str">
        <f t="shared" si="25"/>
        <v/>
      </c>
      <c r="BS24" s="31" t="str">
        <f t="shared" si="26"/>
        <v>Y</v>
      </c>
      <c r="BT24" s="31" t="str">
        <f t="shared" si="27"/>
        <v/>
      </c>
      <c r="BU24" s="30" t="str">
        <f t="shared" si="28"/>
        <v/>
      </c>
      <c r="BV24" s="39" t="str">
        <f t="shared" si="29"/>
        <v>Y</v>
      </c>
      <c r="BW24" s="3" t="s">
        <v>239</v>
      </c>
      <c r="BX24" s="16"/>
    </row>
    <row r="25" spans="1:76" ht="43.5" x14ac:dyDescent="0.35">
      <c r="A25" s="11" t="s">
        <v>37</v>
      </c>
      <c r="B25" s="3" t="s">
        <v>30</v>
      </c>
      <c r="C25" s="12"/>
      <c r="D25" s="59"/>
      <c r="E25" s="13"/>
      <c r="F25" s="13"/>
      <c r="G25" s="13"/>
      <c r="H25" s="13" t="s">
        <v>7</v>
      </c>
      <c r="I25" s="13"/>
      <c r="J25" s="13"/>
      <c r="K25" s="13"/>
      <c r="L25" s="13"/>
      <c r="N25" s="13"/>
      <c r="O25" s="13" t="s">
        <v>7</v>
      </c>
      <c r="P25" s="13" t="s">
        <v>7</v>
      </c>
      <c r="Q25" s="13"/>
      <c r="R25" s="13"/>
      <c r="S25" s="13"/>
      <c r="V25" s="13"/>
      <c r="W25" s="13"/>
      <c r="X25" s="13"/>
      <c r="Y25" s="13"/>
      <c r="Z25" s="13"/>
      <c r="AA25" s="13"/>
      <c r="AB25" s="13"/>
      <c r="AC25" s="13" t="s">
        <v>7</v>
      </c>
      <c r="AD25" s="13"/>
      <c r="AE25" s="13"/>
      <c r="AF25" s="13"/>
      <c r="AG25" s="13"/>
      <c r="AH25" s="12"/>
      <c r="AI25" s="13" t="s">
        <v>7</v>
      </c>
      <c r="AJ25" s="14" t="s">
        <v>7</v>
      </c>
      <c r="AK25" s="13" t="s">
        <v>7</v>
      </c>
      <c r="AL25" s="13"/>
      <c r="AM25" s="15"/>
      <c r="AN25" s="149"/>
      <c r="AO25" s="14"/>
      <c r="AP25" s="14"/>
      <c r="AQ25" s="14" t="s">
        <v>7</v>
      </c>
      <c r="AR25" s="14"/>
      <c r="AS25" s="15"/>
      <c r="AT25" s="14"/>
      <c r="AU25" s="14"/>
      <c r="AV25" s="14" t="s">
        <v>7</v>
      </c>
      <c r="AW25" s="14"/>
      <c r="AX25" s="14"/>
      <c r="AY25" s="14"/>
      <c r="AZ25" s="14"/>
      <c r="BC25" s="31" t="str">
        <f t="shared" si="10"/>
        <v>Y</v>
      </c>
      <c r="BD25" s="31" t="str">
        <f t="shared" si="11"/>
        <v/>
      </c>
      <c r="BE25" s="31" t="str">
        <f t="shared" si="12"/>
        <v/>
      </c>
      <c r="BF25" s="31" t="str">
        <f t="shared" si="13"/>
        <v/>
      </c>
      <c r="BG25" s="31" t="str">
        <f t="shared" si="14"/>
        <v/>
      </c>
      <c r="BH25" s="31" t="str">
        <f t="shared" si="15"/>
        <v/>
      </c>
      <c r="BI25" s="31" t="str">
        <f t="shared" si="16"/>
        <v>Y</v>
      </c>
      <c r="BJ25" s="30" t="str">
        <f t="shared" si="17"/>
        <v>Y</v>
      </c>
      <c r="BK25" s="31" t="str">
        <f t="shared" si="18"/>
        <v>Y</v>
      </c>
      <c r="BL25" s="30" t="str">
        <f t="shared" si="19"/>
        <v>Y</v>
      </c>
      <c r="BM25" s="31" t="str">
        <f t="shared" si="20"/>
        <v>Y</v>
      </c>
      <c r="BN25" s="31" t="str">
        <f t="shared" si="21"/>
        <v/>
      </c>
      <c r="BO25" s="31" t="str">
        <f t="shared" si="22"/>
        <v/>
      </c>
      <c r="BP25" s="31" t="str">
        <f t="shared" si="23"/>
        <v/>
      </c>
      <c r="BQ25" s="31" t="str">
        <f t="shared" si="24"/>
        <v/>
      </c>
      <c r="BR25" s="31" t="str">
        <f t="shared" si="25"/>
        <v>Y</v>
      </c>
      <c r="BS25" s="31" t="str">
        <f t="shared" si="26"/>
        <v>Y</v>
      </c>
      <c r="BT25" s="31" t="str">
        <f t="shared" si="27"/>
        <v/>
      </c>
      <c r="BU25" s="30" t="str">
        <f t="shared" si="28"/>
        <v>Y</v>
      </c>
      <c r="BV25" s="39" t="str">
        <f t="shared" si="29"/>
        <v>Y</v>
      </c>
      <c r="BW25" s="3" t="s">
        <v>268</v>
      </c>
    </row>
    <row r="26" spans="1:76" x14ac:dyDescent="0.35">
      <c r="A26" s="11" t="s">
        <v>38</v>
      </c>
      <c r="B26" s="3" t="s">
        <v>30</v>
      </c>
      <c r="C26" s="12"/>
      <c r="D26" s="59"/>
      <c r="E26" s="13"/>
      <c r="F26" s="13"/>
      <c r="G26" s="13"/>
      <c r="H26" s="13"/>
      <c r="I26" s="13"/>
      <c r="J26" s="13"/>
      <c r="K26" s="13"/>
      <c r="L26" s="13"/>
      <c r="N26" s="13"/>
      <c r="P26" s="13" t="s">
        <v>7</v>
      </c>
      <c r="Q26" s="13"/>
      <c r="R26" s="13"/>
      <c r="S26" s="13"/>
      <c r="V26" s="13"/>
      <c r="W26" s="13"/>
      <c r="X26" s="13"/>
      <c r="Y26" s="13"/>
      <c r="Z26" s="13"/>
      <c r="AA26" s="13"/>
      <c r="AB26" s="13"/>
      <c r="AD26" s="13"/>
      <c r="AE26" s="13"/>
      <c r="AF26" s="13"/>
      <c r="AG26" s="13"/>
      <c r="AH26" s="12"/>
      <c r="AI26" s="13"/>
      <c r="AJ26" s="14" t="s">
        <v>7</v>
      </c>
      <c r="AK26" s="13"/>
      <c r="AL26" s="13"/>
      <c r="AM26" s="15"/>
      <c r="AN26" s="149"/>
      <c r="AO26" s="14"/>
      <c r="AP26" s="14"/>
      <c r="AQ26" s="14" t="s">
        <v>7</v>
      </c>
      <c r="AR26" s="14"/>
      <c r="AS26" s="15"/>
      <c r="AT26" s="14"/>
      <c r="AU26" s="14"/>
      <c r="AV26" s="14" t="s">
        <v>7</v>
      </c>
      <c r="AW26" s="14"/>
      <c r="AX26" s="14"/>
      <c r="AY26" s="14"/>
      <c r="AZ26" s="14"/>
      <c r="BC26" s="31" t="str">
        <f t="shared" si="10"/>
        <v>Y</v>
      </c>
      <c r="BD26" s="31" t="str">
        <f t="shared" si="11"/>
        <v/>
      </c>
      <c r="BE26" s="31" t="str">
        <f t="shared" si="12"/>
        <v/>
      </c>
      <c r="BF26" s="31" t="str">
        <f t="shared" si="13"/>
        <v/>
      </c>
      <c r="BG26" s="31" t="str">
        <f t="shared" si="14"/>
        <v/>
      </c>
      <c r="BH26" s="31" t="str">
        <f t="shared" si="15"/>
        <v/>
      </c>
      <c r="BI26" s="31" t="str">
        <f t="shared" si="16"/>
        <v/>
      </c>
      <c r="BJ26" s="30" t="str">
        <f t="shared" si="17"/>
        <v>Y</v>
      </c>
      <c r="BK26" s="31" t="str">
        <f t="shared" si="18"/>
        <v/>
      </c>
      <c r="BL26" s="30" t="str">
        <f t="shared" si="19"/>
        <v>Y</v>
      </c>
      <c r="BM26" s="31" t="str">
        <f t="shared" si="20"/>
        <v/>
      </c>
      <c r="BN26" s="31" t="str">
        <f t="shared" si="21"/>
        <v/>
      </c>
      <c r="BO26" s="31" t="str">
        <f t="shared" si="22"/>
        <v/>
      </c>
      <c r="BP26" s="31" t="str">
        <f t="shared" si="23"/>
        <v/>
      </c>
      <c r="BQ26" s="31" t="str">
        <f t="shared" si="24"/>
        <v/>
      </c>
      <c r="BR26" s="31" t="str">
        <f t="shared" si="25"/>
        <v/>
      </c>
      <c r="BS26" s="31" t="str">
        <f t="shared" si="26"/>
        <v/>
      </c>
      <c r="BT26" s="31" t="str">
        <f t="shared" si="27"/>
        <v/>
      </c>
      <c r="BU26" s="30" t="str">
        <f t="shared" si="28"/>
        <v>Y</v>
      </c>
      <c r="BV26" s="39" t="str">
        <f t="shared" si="29"/>
        <v/>
      </c>
      <c r="BW26" s="3" t="s">
        <v>187</v>
      </c>
    </row>
    <row r="27" spans="1:76" x14ac:dyDescent="0.35">
      <c r="A27" s="13" t="s">
        <v>39</v>
      </c>
      <c r="B27" s="12" t="s">
        <v>46</v>
      </c>
      <c r="C27" s="3" t="s">
        <v>7</v>
      </c>
      <c r="D27" s="151"/>
      <c r="E27" s="11"/>
      <c r="F27" s="11"/>
      <c r="G27" s="11"/>
      <c r="H27" s="11"/>
      <c r="I27" s="11"/>
      <c r="J27" s="11"/>
      <c r="K27" s="11"/>
      <c r="L27" s="11"/>
      <c r="M27" s="11"/>
      <c r="N27" s="11"/>
      <c r="O27" s="11"/>
      <c r="P27" s="11"/>
      <c r="Q27" s="11"/>
      <c r="R27" s="11"/>
      <c r="S27" s="11"/>
      <c r="T27" s="29"/>
      <c r="U27" s="29"/>
      <c r="V27" s="11"/>
      <c r="W27" s="11"/>
      <c r="X27" s="11"/>
      <c r="Y27" s="11"/>
      <c r="Z27" s="11"/>
      <c r="AA27" s="11"/>
      <c r="AB27" s="11"/>
      <c r="AC27" s="11"/>
      <c r="AD27" s="11"/>
      <c r="AE27" s="11"/>
      <c r="AF27" s="11"/>
      <c r="AG27" s="11"/>
      <c r="AH27" s="12"/>
      <c r="AI27" s="13"/>
      <c r="AJ27" s="14"/>
      <c r="AK27" s="13" t="s">
        <v>7</v>
      </c>
      <c r="AL27" s="13"/>
      <c r="AM27" s="12"/>
      <c r="AN27" s="59"/>
      <c r="AO27" s="13"/>
      <c r="AP27" s="13"/>
      <c r="AQ27" s="13" t="s">
        <v>7</v>
      </c>
      <c r="AR27" s="13"/>
      <c r="AS27" s="12"/>
      <c r="AT27" s="13"/>
      <c r="AU27" s="13"/>
      <c r="AV27" s="13"/>
      <c r="AW27" s="13"/>
      <c r="AX27" s="13"/>
      <c r="AY27" s="13"/>
      <c r="AZ27" s="13" t="s">
        <v>7</v>
      </c>
      <c r="BC27" s="31" t="str">
        <f t="shared" si="10"/>
        <v/>
      </c>
      <c r="BD27" s="31" t="str">
        <f t="shared" si="11"/>
        <v/>
      </c>
      <c r="BE27" s="31" t="str">
        <f t="shared" si="12"/>
        <v/>
      </c>
      <c r="BF27" s="31" t="str">
        <f t="shared" si="13"/>
        <v/>
      </c>
      <c r="BG27" s="31" t="str">
        <f t="shared" si="14"/>
        <v>Y</v>
      </c>
      <c r="BH27" s="31" t="str">
        <f t="shared" si="15"/>
        <v/>
      </c>
      <c r="BI27" s="31" t="str">
        <f t="shared" si="16"/>
        <v/>
      </c>
      <c r="BJ27" s="30" t="str">
        <f t="shared" si="17"/>
        <v/>
      </c>
      <c r="BK27" s="31" t="str">
        <f t="shared" si="18"/>
        <v>Y</v>
      </c>
      <c r="BL27" s="30" t="str">
        <f t="shared" si="19"/>
        <v/>
      </c>
      <c r="BM27" s="31" t="str">
        <f t="shared" si="20"/>
        <v/>
      </c>
      <c r="BN27" s="31" t="str">
        <f t="shared" si="21"/>
        <v/>
      </c>
      <c r="BO27" s="31" t="str">
        <f t="shared" si="22"/>
        <v>Y</v>
      </c>
      <c r="BP27" s="31" t="str">
        <f t="shared" si="23"/>
        <v/>
      </c>
      <c r="BQ27" s="31" t="str">
        <f t="shared" si="24"/>
        <v/>
      </c>
      <c r="BR27" s="31" t="str">
        <f t="shared" si="25"/>
        <v/>
      </c>
      <c r="BS27" s="31" t="str">
        <f t="shared" si="26"/>
        <v/>
      </c>
      <c r="BT27" s="31" t="str">
        <f t="shared" si="27"/>
        <v/>
      </c>
      <c r="BU27" s="30" t="str">
        <f t="shared" si="28"/>
        <v>Y</v>
      </c>
      <c r="BV27" s="39" t="str">
        <f t="shared" si="29"/>
        <v/>
      </c>
      <c r="BW27" s="3" t="s">
        <v>188</v>
      </c>
      <c r="BX27" s="16"/>
    </row>
    <row r="28" spans="1:76" x14ac:dyDescent="0.35">
      <c r="A28" s="13" t="s">
        <v>40</v>
      </c>
      <c r="B28" s="12" t="s">
        <v>14</v>
      </c>
      <c r="C28" s="12" t="s">
        <v>7</v>
      </c>
      <c r="D28" s="59"/>
      <c r="E28" s="13"/>
      <c r="F28" s="13"/>
      <c r="G28" s="13"/>
      <c r="H28" s="13"/>
      <c r="I28" s="13"/>
      <c r="J28" s="13"/>
      <c r="K28" s="13"/>
      <c r="L28" s="13"/>
      <c r="N28" s="13"/>
      <c r="Q28" s="13"/>
      <c r="R28" s="13"/>
      <c r="S28" s="13"/>
      <c r="T28" s="28" t="s">
        <v>7</v>
      </c>
      <c r="V28" s="13"/>
      <c r="W28" s="13"/>
      <c r="X28" s="13"/>
      <c r="Y28" s="13"/>
      <c r="Z28" s="13"/>
      <c r="AA28" s="13"/>
      <c r="AB28" s="13"/>
      <c r="AD28" s="13"/>
      <c r="AE28" s="13"/>
      <c r="AF28" s="13"/>
      <c r="AG28" s="13"/>
      <c r="AH28" s="12"/>
      <c r="AI28" s="13"/>
      <c r="AJ28" s="14"/>
      <c r="AK28" s="13" t="s">
        <v>7</v>
      </c>
      <c r="AL28" s="13"/>
      <c r="AM28" s="12"/>
      <c r="AN28" s="59"/>
      <c r="AO28" s="13"/>
      <c r="AP28" s="13"/>
      <c r="AQ28" s="14" t="s">
        <v>7</v>
      </c>
      <c r="AR28" s="14"/>
      <c r="AS28" s="15"/>
      <c r="AT28" s="14"/>
      <c r="AU28" s="14"/>
      <c r="AV28" s="14"/>
      <c r="AW28" s="14"/>
      <c r="AX28" s="14"/>
      <c r="AY28" s="14" t="s">
        <v>7</v>
      </c>
      <c r="AZ28" s="14"/>
      <c r="BC28" s="31" t="str">
        <f t="shared" si="10"/>
        <v/>
      </c>
      <c r="BD28" s="31" t="str">
        <f t="shared" si="11"/>
        <v/>
      </c>
      <c r="BE28" s="31" t="str">
        <f t="shared" si="12"/>
        <v/>
      </c>
      <c r="BF28" s="31" t="str">
        <f t="shared" si="13"/>
        <v/>
      </c>
      <c r="BG28" s="31" t="str">
        <f t="shared" si="14"/>
        <v>Y</v>
      </c>
      <c r="BH28" s="31" t="str">
        <f t="shared" si="15"/>
        <v/>
      </c>
      <c r="BI28" s="31" t="str">
        <f t="shared" si="16"/>
        <v>Y</v>
      </c>
      <c r="BJ28" s="30" t="str">
        <f t="shared" si="17"/>
        <v/>
      </c>
      <c r="BK28" s="31" t="str">
        <f t="shared" si="18"/>
        <v>Y</v>
      </c>
      <c r="BL28" s="30" t="str">
        <f t="shared" si="19"/>
        <v/>
      </c>
      <c r="BM28" s="31" t="str">
        <f t="shared" si="20"/>
        <v/>
      </c>
      <c r="BN28" s="31" t="str">
        <f t="shared" si="21"/>
        <v/>
      </c>
      <c r="BO28" s="31" t="str">
        <f t="shared" si="22"/>
        <v>Y</v>
      </c>
      <c r="BP28" s="31" t="str">
        <f t="shared" si="23"/>
        <v/>
      </c>
      <c r="BQ28" s="31" t="str">
        <f t="shared" si="24"/>
        <v>Y</v>
      </c>
      <c r="BR28" s="31" t="str">
        <f t="shared" si="25"/>
        <v/>
      </c>
      <c r="BS28" s="31" t="str">
        <f t="shared" si="26"/>
        <v/>
      </c>
      <c r="BT28" s="31" t="str">
        <f t="shared" si="27"/>
        <v/>
      </c>
      <c r="BU28" s="30" t="str">
        <f t="shared" si="28"/>
        <v>Y</v>
      </c>
      <c r="BV28" s="39" t="str">
        <f t="shared" si="29"/>
        <v>Y</v>
      </c>
      <c r="BW28" s="3" t="s">
        <v>189</v>
      </c>
    </row>
    <row r="29" spans="1:76" s="16" customFormat="1" x14ac:dyDescent="0.35">
      <c r="A29" s="11" t="s">
        <v>41</v>
      </c>
      <c r="B29" s="3" t="s">
        <v>14</v>
      </c>
      <c r="C29" s="12"/>
      <c r="D29" s="59"/>
      <c r="E29" s="13"/>
      <c r="F29" s="13"/>
      <c r="G29" s="13" t="s">
        <v>7</v>
      </c>
      <c r="H29" s="13"/>
      <c r="I29" s="13"/>
      <c r="J29" s="13"/>
      <c r="K29" s="13"/>
      <c r="L29" s="13"/>
      <c r="M29" s="13"/>
      <c r="N29" s="13"/>
      <c r="O29" s="13"/>
      <c r="P29" s="13"/>
      <c r="Q29" s="13"/>
      <c r="R29" s="13"/>
      <c r="S29" s="13"/>
      <c r="T29" s="28"/>
      <c r="U29" s="28"/>
      <c r="V29" s="13"/>
      <c r="W29" s="13"/>
      <c r="X29" s="13"/>
      <c r="Y29" s="13"/>
      <c r="Z29" s="13"/>
      <c r="AA29" s="13"/>
      <c r="AB29" s="13"/>
      <c r="AC29" s="13"/>
      <c r="AD29" s="13"/>
      <c r="AE29" s="13"/>
      <c r="AF29" s="13"/>
      <c r="AG29" s="13"/>
      <c r="AH29" s="12"/>
      <c r="AI29" s="13"/>
      <c r="AJ29" s="14"/>
      <c r="AK29" s="13"/>
      <c r="AL29" s="13" t="s">
        <v>7</v>
      </c>
      <c r="AM29" s="15"/>
      <c r="AN29" s="149" t="s">
        <v>7</v>
      </c>
      <c r="AO29" s="14"/>
      <c r="AP29" s="14"/>
      <c r="AQ29" s="14"/>
      <c r="AR29" s="14"/>
      <c r="AS29" s="15"/>
      <c r="AT29" s="14"/>
      <c r="AU29" s="14"/>
      <c r="AV29" s="14"/>
      <c r="AW29" s="14"/>
      <c r="AX29" s="14"/>
      <c r="AY29" s="14" t="s">
        <v>7</v>
      </c>
      <c r="AZ29" s="14"/>
      <c r="BA29" s="30"/>
      <c r="BB29" s="31"/>
      <c r="BC29" s="31" t="str">
        <f t="shared" si="10"/>
        <v/>
      </c>
      <c r="BD29" s="31" t="str">
        <f t="shared" si="11"/>
        <v/>
      </c>
      <c r="BE29" s="31" t="str">
        <f t="shared" si="12"/>
        <v/>
      </c>
      <c r="BF29" s="31" t="str">
        <f t="shared" si="13"/>
        <v/>
      </c>
      <c r="BG29" s="31" t="str">
        <f t="shared" si="14"/>
        <v/>
      </c>
      <c r="BH29" s="31" t="str">
        <f t="shared" si="15"/>
        <v/>
      </c>
      <c r="BI29" s="31" t="str">
        <f t="shared" si="16"/>
        <v>Y</v>
      </c>
      <c r="BJ29" s="30" t="str">
        <f t="shared" si="17"/>
        <v/>
      </c>
      <c r="BK29" s="31" t="str">
        <f t="shared" si="18"/>
        <v>Y</v>
      </c>
      <c r="BL29" s="30" t="str">
        <f t="shared" si="19"/>
        <v/>
      </c>
      <c r="BM29" s="31" t="str">
        <f t="shared" si="20"/>
        <v/>
      </c>
      <c r="BN29" s="31" t="str">
        <f t="shared" si="21"/>
        <v/>
      </c>
      <c r="BO29" s="31" t="str">
        <f t="shared" si="22"/>
        <v/>
      </c>
      <c r="BP29" s="31" t="str">
        <f t="shared" si="23"/>
        <v/>
      </c>
      <c r="BQ29" s="31" t="str">
        <f t="shared" si="24"/>
        <v>Y</v>
      </c>
      <c r="BR29" s="31" t="str">
        <f t="shared" si="25"/>
        <v/>
      </c>
      <c r="BS29" s="31" t="str">
        <f t="shared" si="26"/>
        <v/>
      </c>
      <c r="BT29" s="31" t="str">
        <f t="shared" si="27"/>
        <v/>
      </c>
      <c r="BU29" s="30" t="str">
        <f t="shared" si="28"/>
        <v/>
      </c>
      <c r="BV29" s="39" t="str">
        <f t="shared" si="29"/>
        <v>Y</v>
      </c>
      <c r="BW29" s="3" t="s">
        <v>190</v>
      </c>
    </row>
    <row r="30" spans="1:76" s="26" customFormat="1" ht="29" x14ac:dyDescent="0.35">
      <c r="A30" s="11" t="s">
        <v>42</v>
      </c>
      <c r="B30" s="3" t="s">
        <v>18</v>
      </c>
      <c r="C30" s="12" t="s">
        <v>7</v>
      </c>
      <c r="D30" s="59"/>
      <c r="E30" s="13"/>
      <c r="F30" s="13"/>
      <c r="G30" s="13"/>
      <c r="H30" s="13"/>
      <c r="I30" s="13"/>
      <c r="J30" s="13"/>
      <c r="K30" s="13"/>
      <c r="L30" s="13"/>
      <c r="M30" s="13"/>
      <c r="N30" s="13"/>
      <c r="O30" s="13"/>
      <c r="P30" s="13"/>
      <c r="Q30" s="13"/>
      <c r="R30" s="13"/>
      <c r="S30" s="13"/>
      <c r="T30" s="28"/>
      <c r="U30" s="28"/>
      <c r="V30" s="13"/>
      <c r="W30" s="13"/>
      <c r="X30" s="13"/>
      <c r="Y30" s="13"/>
      <c r="Z30" s="13"/>
      <c r="AA30" s="13"/>
      <c r="AB30" s="13"/>
      <c r="AC30" s="13"/>
      <c r="AD30" s="13"/>
      <c r="AE30" s="13"/>
      <c r="AF30" s="13"/>
      <c r="AG30" s="13"/>
      <c r="AH30" s="12"/>
      <c r="AI30" s="13"/>
      <c r="AJ30" s="14"/>
      <c r="AK30" s="13" t="s">
        <v>7</v>
      </c>
      <c r="AL30" s="13"/>
      <c r="AM30" s="15"/>
      <c r="AN30" s="149"/>
      <c r="AO30" s="14"/>
      <c r="AP30" s="14"/>
      <c r="AQ30" s="14" t="s">
        <v>7</v>
      </c>
      <c r="AR30" s="14"/>
      <c r="AS30" s="15"/>
      <c r="AT30" s="14" t="s">
        <v>7</v>
      </c>
      <c r="AU30" s="14"/>
      <c r="AV30" s="14"/>
      <c r="AW30" s="14"/>
      <c r="AX30" s="14"/>
      <c r="AY30" s="14"/>
      <c r="AZ30" s="14"/>
      <c r="BA30" s="30"/>
      <c r="BB30" s="31"/>
      <c r="BC30" s="31" t="str">
        <f t="shared" si="10"/>
        <v/>
      </c>
      <c r="BD30" s="31" t="str">
        <f t="shared" si="11"/>
        <v/>
      </c>
      <c r="BE30" s="31" t="str">
        <f t="shared" si="12"/>
        <v/>
      </c>
      <c r="BF30" s="31" t="str">
        <f t="shared" si="13"/>
        <v/>
      </c>
      <c r="BG30" s="31" t="str">
        <f t="shared" si="14"/>
        <v>Y</v>
      </c>
      <c r="BH30" s="31" t="str">
        <f t="shared" si="15"/>
        <v/>
      </c>
      <c r="BI30" s="31" t="str">
        <f t="shared" si="16"/>
        <v/>
      </c>
      <c r="BJ30" s="30" t="str">
        <f t="shared" si="17"/>
        <v/>
      </c>
      <c r="BK30" s="31" t="str">
        <f t="shared" si="18"/>
        <v>Y</v>
      </c>
      <c r="BL30" s="30" t="str">
        <f t="shared" si="19"/>
        <v/>
      </c>
      <c r="BM30" s="31" t="str">
        <f t="shared" si="20"/>
        <v/>
      </c>
      <c r="BN30" s="31" t="str">
        <f t="shared" si="21"/>
        <v/>
      </c>
      <c r="BO30" s="31" t="str">
        <f t="shared" si="22"/>
        <v>Y</v>
      </c>
      <c r="BP30" s="31" t="str">
        <f t="shared" si="23"/>
        <v/>
      </c>
      <c r="BQ30" s="31" t="str">
        <f t="shared" si="24"/>
        <v/>
      </c>
      <c r="BR30" s="31" t="str">
        <f t="shared" si="25"/>
        <v/>
      </c>
      <c r="BS30" s="31" t="str">
        <f t="shared" si="26"/>
        <v/>
      </c>
      <c r="BT30" s="31" t="str">
        <f t="shared" si="27"/>
        <v/>
      </c>
      <c r="BU30" s="30" t="str">
        <f t="shared" si="28"/>
        <v>Y</v>
      </c>
      <c r="BV30" s="39" t="str">
        <f t="shared" si="29"/>
        <v/>
      </c>
      <c r="BW30" s="3" t="s">
        <v>289</v>
      </c>
    </row>
    <row r="31" spans="1:76" s="16" customFormat="1" ht="43.5" x14ac:dyDescent="0.35">
      <c r="A31" s="11" t="s">
        <v>43</v>
      </c>
      <c r="B31" s="3" t="s">
        <v>30</v>
      </c>
      <c r="C31" s="12" t="s">
        <v>7</v>
      </c>
      <c r="D31" s="59"/>
      <c r="E31" s="13"/>
      <c r="F31" s="13"/>
      <c r="G31" s="13" t="s">
        <v>7</v>
      </c>
      <c r="H31" s="13" t="s">
        <v>7</v>
      </c>
      <c r="I31" s="13"/>
      <c r="J31" s="13"/>
      <c r="K31" s="13"/>
      <c r="L31" s="13" t="s">
        <v>7</v>
      </c>
      <c r="M31" s="13"/>
      <c r="N31" s="13" t="s">
        <v>7</v>
      </c>
      <c r="O31" s="13"/>
      <c r="P31" s="13" t="s">
        <v>7</v>
      </c>
      <c r="Q31" s="13"/>
      <c r="R31" s="13"/>
      <c r="S31" s="13"/>
      <c r="T31" s="28"/>
      <c r="U31" s="28" t="s">
        <v>7</v>
      </c>
      <c r="V31" s="13"/>
      <c r="W31" s="13"/>
      <c r="X31" s="13"/>
      <c r="Y31" s="13"/>
      <c r="Z31" s="13"/>
      <c r="AA31" s="13"/>
      <c r="AB31" s="13"/>
      <c r="AC31" s="13" t="s">
        <v>7</v>
      </c>
      <c r="AD31" s="13"/>
      <c r="AE31" s="13"/>
      <c r="AF31" s="13"/>
      <c r="AG31" s="13"/>
      <c r="AH31" s="12"/>
      <c r="AI31" s="13" t="s">
        <v>7</v>
      </c>
      <c r="AJ31" s="14" t="s">
        <v>7</v>
      </c>
      <c r="AK31" s="13" t="s">
        <v>7</v>
      </c>
      <c r="AL31" s="13" t="s">
        <v>7</v>
      </c>
      <c r="AM31" s="15"/>
      <c r="AN31" s="149"/>
      <c r="AO31" s="14"/>
      <c r="AP31" s="14"/>
      <c r="AQ31" s="14" t="s">
        <v>7</v>
      </c>
      <c r="AR31" s="14"/>
      <c r="AS31" s="15"/>
      <c r="AT31" s="14"/>
      <c r="AU31" s="14"/>
      <c r="AV31" s="14" t="s">
        <v>7</v>
      </c>
      <c r="AW31" s="14"/>
      <c r="AX31" s="14"/>
      <c r="AY31" s="14"/>
      <c r="AZ31" s="14"/>
      <c r="BA31" s="30"/>
      <c r="BB31" s="31"/>
      <c r="BC31" s="31" t="str">
        <f t="shared" si="10"/>
        <v>Y</v>
      </c>
      <c r="BD31" s="31" t="str">
        <f t="shared" si="11"/>
        <v/>
      </c>
      <c r="BE31" s="31" t="str">
        <f t="shared" si="12"/>
        <v/>
      </c>
      <c r="BF31" s="31" t="str">
        <f t="shared" si="13"/>
        <v/>
      </c>
      <c r="BG31" s="31" t="str">
        <f t="shared" si="14"/>
        <v>Y</v>
      </c>
      <c r="BH31" s="31" t="str">
        <f t="shared" si="15"/>
        <v>Y</v>
      </c>
      <c r="BI31" s="31" t="str">
        <f t="shared" si="16"/>
        <v>Y</v>
      </c>
      <c r="BJ31" s="30" t="str">
        <f t="shared" si="17"/>
        <v>Y</v>
      </c>
      <c r="BK31" s="31" t="str">
        <f t="shared" si="18"/>
        <v>Y</v>
      </c>
      <c r="BL31" s="30" t="str">
        <f t="shared" si="19"/>
        <v>Y</v>
      </c>
      <c r="BM31" s="31" t="str">
        <f t="shared" si="20"/>
        <v>Y</v>
      </c>
      <c r="BN31" s="31" t="str">
        <f t="shared" si="21"/>
        <v>Y</v>
      </c>
      <c r="BO31" s="31" t="str">
        <f t="shared" si="22"/>
        <v>Y</v>
      </c>
      <c r="BP31" s="31" t="str">
        <f t="shared" si="23"/>
        <v/>
      </c>
      <c r="BQ31" s="31" t="str">
        <f t="shared" si="24"/>
        <v>Y</v>
      </c>
      <c r="BR31" s="31" t="str">
        <f t="shared" si="25"/>
        <v/>
      </c>
      <c r="BS31" s="31" t="str">
        <f t="shared" si="26"/>
        <v>Y</v>
      </c>
      <c r="BT31" s="31" t="str">
        <f t="shared" si="27"/>
        <v/>
      </c>
      <c r="BU31" s="30" t="str">
        <f t="shared" si="28"/>
        <v>Y</v>
      </c>
      <c r="BV31" s="39" t="str">
        <f t="shared" si="29"/>
        <v>Y</v>
      </c>
      <c r="BW31" s="3" t="s">
        <v>286</v>
      </c>
    </row>
    <row r="32" spans="1:76" s="16" customFormat="1" ht="29" x14ac:dyDescent="0.35">
      <c r="A32" s="11" t="s">
        <v>452</v>
      </c>
      <c r="B32" s="3" t="s">
        <v>16</v>
      </c>
      <c r="C32" s="12" t="s">
        <v>7</v>
      </c>
      <c r="D32" s="59"/>
      <c r="E32" s="13"/>
      <c r="F32" s="13"/>
      <c r="G32" s="13"/>
      <c r="H32" s="13" t="s">
        <v>7</v>
      </c>
      <c r="I32" s="13"/>
      <c r="J32" s="13"/>
      <c r="K32" s="13"/>
      <c r="L32" s="13"/>
      <c r="M32" s="13"/>
      <c r="N32" s="13"/>
      <c r="O32" s="13"/>
      <c r="P32" s="13" t="s">
        <v>7</v>
      </c>
      <c r="Q32" s="13"/>
      <c r="R32" s="13"/>
      <c r="S32" s="13"/>
      <c r="T32" s="28"/>
      <c r="U32" s="28"/>
      <c r="V32" s="13"/>
      <c r="W32" s="13"/>
      <c r="X32" s="13"/>
      <c r="Y32" s="13"/>
      <c r="Z32" s="13"/>
      <c r="AA32" s="13"/>
      <c r="AB32" s="13"/>
      <c r="AC32" s="13" t="s">
        <v>7</v>
      </c>
      <c r="AD32" s="13"/>
      <c r="AE32" s="13"/>
      <c r="AF32" s="13"/>
      <c r="AG32" s="13"/>
      <c r="AH32" s="12"/>
      <c r="AI32" s="13" t="s">
        <v>7</v>
      </c>
      <c r="AJ32" s="14" t="s">
        <v>7</v>
      </c>
      <c r="AK32" s="13" t="s">
        <v>7</v>
      </c>
      <c r="AL32" s="13"/>
      <c r="AM32" s="15"/>
      <c r="AN32" s="149"/>
      <c r="AO32" s="14"/>
      <c r="AP32" s="14"/>
      <c r="AQ32" s="14" t="s">
        <v>7</v>
      </c>
      <c r="AR32" s="14"/>
      <c r="AS32" s="15"/>
      <c r="AT32" s="14"/>
      <c r="AU32" s="14"/>
      <c r="AV32" s="14" t="s">
        <v>7</v>
      </c>
      <c r="AW32" s="14"/>
      <c r="AX32" s="14"/>
      <c r="AY32" s="14"/>
      <c r="AZ32" s="14"/>
      <c r="BA32" s="30"/>
      <c r="BB32" s="31"/>
      <c r="BC32" s="31" t="str">
        <f t="shared" si="10"/>
        <v>Y</v>
      </c>
      <c r="BD32" s="31" t="str">
        <f t="shared" si="11"/>
        <v/>
      </c>
      <c r="BE32" s="31" t="str">
        <f t="shared" si="12"/>
        <v/>
      </c>
      <c r="BF32" s="31" t="str">
        <f t="shared" si="13"/>
        <v/>
      </c>
      <c r="BG32" s="31" t="str">
        <f t="shared" si="14"/>
        <v>Y</v>
      </c>
      <c r="BH32" s="31" t="str">
        <f t="shared" si="15"/>
        <v/>
      </c>
      <c r="BI32" s="31" t="str">
        <f t="shared" si="16"/>
        <v>Y</v>
      </c>
      <c r="BJ32" s="30" t="str">
        <f t="shared" si="17"/>
        <v>Y</v>
      </c>
      <c r="BK32" s="31" t="str">
        <f t="shared" si="18"/>
        <v>Y</v>
      </c>
      <c r="BL32" s="30" t="str">
        <f t="shared" si="19"/>
        <v>Y</v>
      </c>
      <c r="BM32" s="31" t="str">
        <f t="shared" si="20"/>
        <v>Y</v>
      </c>
      <c r="BN32" s="31" t="str">
        <f t="shared" si="21"/>
        <v/>
      </c>
      <c r="BO32" s="31" t="str">
        <f t="shared" si="22"/>
        <v>Y</v>
      </c>
      <c r="BP32" s="31" t="str">
        <f t="shared" si="23"/>
        <v/>
      </c>
      <c r="BQ32" s="31" t="str">
        <f t="shared" si="24"/>
        <v/>
      </c>
      <c r="BR32" s="31" t="str">
        <f t="shared" si="25"/>
        <v/>
      </c>
      <c r="BS32" s="31" t="str">
        <f t="shared" si="26"/>
        <v>Y</v>
      </c>
      <c r="BT32" s="31" t="str">
        <f t="shared" si="27"/>
        <v/>
      </c>
      <c r="BU32" s="30" t="str">
        <f t="shared" si="28"/>
        <v>Y</v>
      </c>
      <c r="BV32" s="39" t="str">
        <f t="shared" si="29"/>
        <v>Y</v>
      </c>
      <c r="BW32" s="154" t="s">
        <v>453</v>
      </c>
    </row>
    <row r="33" spans="1:76" s="16" customFormat="1" x14ac:dyDescent="0.35">
      <c r="A33" s="11" t="s">
        <v>44</v>
      </c>
      <c r="B33" s="3" t="s">
        <v>12</v>
      </c>
      <c r="C33" s="12"/>
      <c r="D33" s="59"/>
      <c r="E33" s="13"/>
      <c r="F33" s="13"/>
      <c r="G33" s="13"/>
      <c r="H33" s="13"/>
      <c r="I33" s="13"/>
      <c r="J33" s="13"/>
      <c r="K33" s="13"/>
      <c r="L33" s="13"/>
      <c r="M33" s="13"/>
      <c r="N33" s="13"/>
      <c r="O33" s="13"/>
      <c r="P33" s="13"/>
      <c r="Q33" s="13"/>
      <c r="R33" s="13"/>
      <c r="S33" s="13"/>
      <c r="T33" s="28"/>
      <c r="U33" s="28"/>
      <c r="V33" s="13"/>
      <c r="W33" s="13"/>
      <c r="X33" s="13"/>
      <c r="Y33" s="13"/>
      <c r="Z33" s="13"/>
      <c r="AA33" s="13"/>
      <c r="AB33" s="13"/>
      <c r="AC33" s="13"/>
      <c r="AD33" s="13"/>
      <c r="AE33" s="13" t="s">
        <v>7</v>
      </c>
      <c r="AF33" s="13"/>
      <c r="AG33" s="13"/>
      <c r="AH33" s="12"/>
      <c r="AI33" s="13"/>
      <c r="AJ33" s="14"/>
      <c r="AK33" s="13"/>
      <c r="AL33" s="13" t="s">
        <v>7</v>
      </c>
      <c r="AM33" s="15"/>
      <c r="AN33" s="149"/>
      <c r="AO33" s="14"/>
      <c r="AP33" s="14"/>
      <c r="AQ33" s="14"/>
      <c r="AR33" s="14" t="s">
        <v>7</v>
      </c>
      <c r="AS33" s="15" t="s">
        <v>7</v>
      </c>
      <c r="AT33" s="14"/>
      <c r="AU33" s="14"/>
      <c r="AV33" s="14"/>
      <c r="AW33" s="14"/>
      <c r="AX33" s="14"/>
      <c r="AY33" s="14"/>
      <c r="AZ33" s="14"/>
      <c r="BA33" s="30"/>
      <c r="BB33" s="31"/>
      <c r="BC33" s="31" t="str">
        <f t="shared" si="10"/>
        <v/>
      </c>
      <c r="BD33" s="31" t="str">
        <f t="shared" si="11"/>
        <v/>
      </c>
      <c r="BE33" s="31" t="str">
        <f t="shared" si="12"/>
        <v/>
      </c>
      <c r="BF33" s="31" t="str">
        <f t="shared" si="13"/>
        <v/>
      </c>
      <c r="BG33" s="31" t="str">
        <f t="shared" si="14"/>
        <v/>
      </c>
      <c r="BH33" s="31" t="str">
        <f t="shared" si="15"/>
        <v/>
      </c>
      <c r="BI33" s="31" t="str">
        <f t="shared" si="16"/>
        <v>Y</v>
      </c>
      <c r="BJ33" s="30" t="str">
        <f t="shared" si="17"/>
        <v/>
      </c>
      <c r="BK33" s="31" t="str">
        <f t="shared" si="18"/>
        <v>Y</v>
      </c>
      <c r="BL33" s="30" t="str">
        <f t="shared" si="19"/>
        <v/>
      </c>
      <c r="BM33" s="31" t="str">
        <f t="shared" si="20"/>
        <v/>
      </c>
      <c r="BN33" s="31" t="str">
        <f t="shared" si="21"/>
        <v/>
      </c>
      <c r="BO33" s="31" t="str">
        <f t="shared" si="22"/>
        <v/>
      </c>
      <c r="BP33" s="31" t="str">
        <f t="shared" si="23"/>
        <v/>
      </c>
      <c r="BQ33" s="31" t="str">
        <f t="shared" si="24"/>
        <v/>
      </c>
      <c r="BR33" s="31" t="str">
        <f t="shared" si="25"/>
        <v/>
      </c>
      <c r="BS33" s="31" t="str">
        <f t="shared" si="26"/>
        <v/>
      </c>
      <c r="BT33" s="31" t="str">
        <f t="shared" si="27"/>
        <v>Y</v>
      </c>
      <c r="BU33" s="30" t="str">
        <f t="shared" si="28"/>
        <v/>
      </c>
      <c r="BV33" s="39" t="str">
        <f t="shared" si="29"/>
        <v>Y</v>
      </c>
      <c r="BW33" s="3" t="s">
        <v>191</v>
      </c>
    </row>
    <row r="34" spans="1:76" s="16" customFormat="1" x14ac:dyDescent="0.35">
      <c r="A34" s="11" t="s">
        <v>45</v>
      </c>
      <c r="B34" s="3" t="s">
        <v>46</v>
      </c>
      <c r="C34" s="12" t="s">
        <v>7</v>
      </c>
      <c r="D34" s="59"/>
      <c r="E34" s="13"/>
      <c r="F34" s="13"/>
      <c r="G34" s="13"/>
      <c r="H34" s="13" t="s">
        <v>7</v>
      </c>
      <c r="I34" s="13"/>
      <c r="J34" s="13"/>
      <c r="K34" s="13"/>
      <c r="L34" s="13"/>
      <c r="M34" s="13"/>
      <c r="N34" s="13"/>
      <c r="O34" s="13"/>
      <c r="P34" s="13"/>
      <c r="Q34" s="13"/>
      <c r="R34" s="13"/>
      <c r="S34" s="13"/>
      <c r="T34" s="28"/>
      <c r="U34" s="28"/>
      <c r="V34" s="13"/>
      <c r="W34" s="13"/>
      <c r="X34" s="13"/>
      <c r="Y34" s="13"/>
      <c r="Z34" s="13"/>
      <c r="AA34" s="13"/>
      <c r="AB34" s="13"/>
      <c r="AC34" s="13"/>
      <c r="AD34" s="13"/>
      <c r="AE34" s="13"/>
      <c r="AF34" s="13"/>
      <c r="AG34" s="13"/>
      <c r="AH34" s="12"/>
      <c r="AI34" s="13"/>
      <c r="AJ34" s="14"/>
      <c r="AK34" s="13" t="s">
        <v>7</v>
      </c>
      <c r="AL34" s="13"/>
      <c r="AM34" s="15"/>
      <c r="AN34" s="149"/>
      <c r="AO34" s="14"/>
      <c r="AP34" s="14"/>
      <c r="AQ34" s="14" t="s">
        <v>7</v>
      </c>
      <c r="AR34" s="14"/>
      <c r="AS34" s="15"/>
      <c r="AT34" s="14"/>
      <c r="AU34" s="14"/>
      <c r="AV34" s="14"/>
      <c r="AW34" s="14"/>
      <c r="AX34" s="14"/>
      <c r="AY34" s="14"/>
      <c r="AZ34" s="14" t="s">
        <v>7</v>
      </c>
      <c r="BA34" s="30"/>
      <c r="BB34" s="31"/>
      <c r="BC34" s="31" t="str">
        <f t="shared" si="10"/>
        <v/>
      </c>
      <c r="BD34" s="31" t="str">
        <f t="shared" si="11"/>
        <v/>
      </c>
      <c r="BE34" s="31" t="str">
        <f t="shared" si="12"/>
        <v/>
      </c>
      <c r="BF34" s="31" t="str">
        <f t="shared" si="13"/>
        <v/>
      </c>
      <c r="BG34" s="31" t="str">
        <f t="shared" si="14"/>
        <v>Y</v>
      </c>
      <c r="BH34" s="31" t="str">
        <f t="shared" si="15"/>
        <v/>
      </c>
      <c r="BI34" s="31" t="str">
        <f t="shared" si="16"/>
        <v>Y</v>
      </c>
      <c r="BJ34" s="30" t="str">
        <f t="shared" si="17"/>
        <v/>
      </c>
      <c r="BK34" s="31" t="str">
        <f t="shared" si="18"/>
        <v>Y</v>
      </c>
      <c r="BL34" s="30" t="str">
        <f t="shared" si="19"/>
        <v/>
      </c>
      <c r="BM34" s="31" t="str">
        <f t="shared" si="20"/>
        <v/>
      </c>
      <c r="BN34" s="31" t="str">
        <f t="shared" si="21"/>
        <v/>
      </c>
      <c r="BO34" s="31" t="str">
        <f t="shared" si="22"/>
        <v>Y</v>
      </c>
      <c r="BP34" s="31" t="str">
        <f t="shared" si="23"/>
        <v/>
      </c>
      <c r="BQ34" s="31" t="str">
        <f t="shared" si="24"/>
        <v/>
      </c>
      <c r="BR34" s="31" t="str">
        <f t="shared" si="25"/>
        <v/>
      </c>
      <c r="BS34" s="31" t="str">
        <f t="shared" si="26"/>
        <v>Y</v>
      </c>
      <c r="BT34" s="31" t="str">
        <f t="shared" si="27"/>
        <v/>
      </c>
      <c r="BU34" s="30" t="str">
        <f t="shared" si="28"/>
        <v>Y</v>
      </c>
      <c r="BV34" s="39" t="str">
        <f t="shared" si="29"/>
        <v>Y</v>
      </c>
      <c r="BW34" s="3" t="s">
        <v>239</v>
      </c>
    </row>
    <row r="35" spans="1:76" s="16" customFormat="1" ht="72.5" x14ac:dyDescent="0.35">
      <c r="A35" s="11" t="s">
        <v>47</v>
      </c>
      <c r="B35" s="3" t="s">
        <v>14</v>
      </c>
      <c r="C35" s="12"/>
      <c r="D35" s="59"/>
      <c r="E35" s="13"/>
      <c r="F35" s="13" t="s">
        <v>7</v>
      </c>
      <c r="G35" s="13" t="s">
        <v>7</v>
      </c>
      <c r="H35" s="13"/>
      <c r="I35" s="13"/>
      <c r="J35" s="13"/>
      <c r="K35" s="13"/>
      <c r="L35" s="13"/>
      <c r="M35" s="13"/>
      <c r="N35" s="13"/>
      <c r="O35" s="13" t="s">
        <v>7</v>
      </c>
      <c r="P35" s="13"/>
      <c r="Q35" s="13" t="s">
        <v>7</v>
      </c>
      <c r="R35" s="13" t="s">
        <v>7</v>
      </c>
      <c r="S35" s="13"/>
      <c r="T35" s="28"/>
      <c r="U35" s="28" t="s">
        <v>7</v>
      </c>
      <c r="V35" s="13" t="s">
        <v>7</v>
      </c>
      <c r="W35" s="13" t="s">
        <v>7</v>
      </c>
      <c r="X35" s="13"/>
      <c r="Y35" s="13"/>
      <c r="Z35" s="13" t="s">
        <v>7</v>
      </c>
      <c r="AA35" s="13"/>
      <c r="AB35" s="13" t="s">
        <v>7</v>
      </c>
      <c r="AC35" s="13"/>
      <c r="AD35" s="13"/>
      <c r="AE35" s="13"/>
      <c r="AF35" s="13" t="s">
        <v>7</v>
      </c>
      <c r="AG35" s="13"/>
      <c r="AH35" s="12"/>
      <c r="AI35" s="13"/>
      <c r="AJ35" s="14"/>
      <c r="AK35" s="13"/>
      <c r="AL35" s="13" t="s">
        <v>7</v>
      </c>
      <c r="AM35" s="15"/>
      <c r="AN35" s="149" t="s">
        <v>7</v>
      </c>
      <c r="AO35" s="14"/>
      <c r="AP35" s="14"/>
      <c r="AQ35" s="14"/>
      <c r="AR35" s="14"/>
      <c r="AS35" s="15"/>
      <c r="AT35" s="14"/>
      <c r="AU35" s="14"/>
      <c r="AV35" s="14"/>
      <c r="AW35" s="14"/>
      <c r="AX35" s="14"/>
      <c r="AY35" s="14" t="s">
        <v>7</v>
      </c>
      <c r="AZ35" s="14"/>
      <c r="BA35" s="30"/>
      <c r="BB35" s="31"/>
      <c r="BC35" s="31" t="str">
        <f t="shared" si="10"/>
        <v>Y</v>
      </c>
      <c r="BD35" s="31" t="str">
        <f t="shared" si="11"/>
        <v>Y</v>
      </c>
      <c r="BE35" s="31" t="str">
        <f t="shared" si="12"/>
        <v/>
      </c>
      <c r="BF35" s="31" t="str">
        <f t="shared" si="13"/>
        <v>Y</v>
      </c>
      <c r="BG35" s="31" t="str">
        <f t="shared" si="14"/>
        <v/>
      </c>
      <c r="BH35" s="31" t="str">
        <f t="shared" si="15"/>
        <v>Y</v>
      </c>
      <c r="BI35" s="31" t="str">
        <f t="shared" si="16"/>
        <v>Y</v>
      </c>
      <c r="BJ35" s="30" t="str">
        <f t="shared" si="17"/>
        <v>Y</v>
      </c>
      <c r="BK35" s="31" t="str">
        <f t="shared" si="18"/>
        <v>Y</v>
      </c>
      <c r="BL35" s="30" t="str">
        <f t="shared" si="19"/>
        <v/>
      </c>
      <c r="BM35" s="31" t="str">
        <f t="shared" si="20"/>
        <v/>
      </c>
      <c r="BN35" s="31" t="str">
        <f t="shared" si="21"/>
        <v>Y</v>
      </c>
      <c r="BO35" s="31" t="str">
        <f t="shared" si="22"/>
        <v/>
      </c>
      <c r="BP35" s="31" t="str">
        <f t="shared" si="23"/>
        <v>Y</v>
      </c>
      <c r="BQ35" s="31" t="str">
        <f t="shared" si="24"/>
        <v>Y</v>
      </c>
      <c r="BR35" s="31" t="str">
        <f t="shared" si="25"/>
        <v>Y</v>
      </c>
      <c r="BS35" s="31" t="str">
        <f t="shared" si="26"/>
        <v>Y</v>
      </c>
      <c r="BT35" s="31" t="str">
        <f t="shared" si="27"/>
        <v>Y</v>
      </c>
      <c r="BU35" s="30" t="str">
        <f t="shared" si="28"/>
        <v>Y</v>
      </c>
      <c r="BV35" s="39" t="str">
        <f t="shared" si="29"/>
        <v>Y</v>
      </c>
      <c r="BW35" s="3" t="s">
        <v>436</v>
      </c>
    </row>
    <row r="36" spans="1:76" s="16" customFormat="1" x14ac:dyDescent="0.35">
      <c r="A36" s="29" t="s">
        <v>437</v>
      </c>
      <c r="B36" s="27" t="s">
        <v>14</v>
      </c>
      <c r="C36" s="57"/>
      <c r="D36" s="5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t="s">
        <v>7</v>
      </c>
      <c r="AH36" s="12"/>
      <c r="AI36" s="13" t="s">
        <v>7</v>
      </c>
      <c r="AJ36" s="14"/>
      <c r="AK36" s="13"/>
      <c r="AL36" s="13"/>
      <c r="AM36" s="30" t="s">
        <v>7</v>
      </c>
      <c r="AN36" s="31"/>
      <c r="AO36" s="31"/>
      <c r="AP36" s="31"/>
      <c r="AQ36" s="31"/>
      <c r="AR36" s="31"/>
      <c r="AS36" s="30"/>
      <c r="AT36" s="31"/>
      <c r="AU36" s="31"/>
      <c r="AV36" s="31"/>
      <c r="AW36" s="31"/>
      <c r="AX36" s="31"/>
      <c r="AY36" s="31" t="s">
        <v>7</v>
      </c>
      <c r="AZ36" s="14"/>
      <c r="BA36" s="30"/>
      <c r="BB36" s="31"/>
      <c r="BC36" s="31" t="str">
        <f t="shared" si="10"/>
        <v/>
      </c>
      <c r="BD36" s="31" t="str">
        <f t="shared" si="11"/>
        <v/>
      </c>
      <c r="BE36" s="31" t="str">
        <f t="shared" si="12"/>
        <v/>
      </c>
      <c r="BF36" s="31" t="str">
        <f t="shared" si="13"/>
        <v/>
      </c>
      <c r="BG36" s="31" t="str">
        <f t="shared" si="14"/>
        <v>Y</v>
      </c>
      <c r="BH36" s="31" t="str">
        <f t="shared" si="15"/>
        <v/>
      </c>
      <c r="BI36" s="31" t="str">
        <f t="shared" si="16"/>
        <v/>
      </c>
      <c r="BJ36" s="30" t="str">
        <f t="shared" si="17"/>
        <v/>
      </c>
      <c r="BK36" s="31" t="str">
        <f t="shared" si="18"/>
        <v>Y</v>
      </c>
      <c r="BL36" s="30" t="str">
        <f t="shared" si="19"/>
        <v/>
      </c>
      <c r="BM36" s="31" t="str">
        <f t="shared" si="20"/>
        <v/>
      </c>
      <c r="BN36" s="31" t="str">
        <f t="shared" si="21"/>
        <v/>
      </c>
      <c r="BO36" s="31" t="str">
        <f t="shared" si="22"/>
        <v>Y</v>
      </c>
      <c r="BP36" s="31" t="str">
        <f t="shared" si="23"/>
        <v/>
      </c>
      <c r="BQ36" s="31" t="str">
        <f t="shared" si="24"/>
        <v/>
      </c>
      <c r="BR36" s="31" t="str">
        <f t="shared" si="25"/>
        <v/>
      </c>
      <c r="BS36" s="31" t="str">
        <f t="shared" si="26"/>
        <v/>
      </c>
      <c r="BT36" s="31" t="str">
        <f t="shared" si="27"/>
        <v/>
      </c>
      <c r="BU36" s="30" t="str">
        <f t="shared" si="28"/>
        <v>Y</v>
      </c>
      <c r="BV36" s="39" t="str">
        <f t="shared" si="29"/>
        <v/>
      </c>
      <c r="BW36" s="27" t="s">
        <v>435</v>
      </c>
    </row>
    <row r="37" spans="1:76" s="16" customFormat="1" x14ac:dyDescent="0.35">
      <c r="A37" s="11" t="s">
        <v>48</v>
      </c>
      <c r="B37" s="3" t="s">
        <v>49</v>
      </c>
      <c r="C37" s="12" t="s">
        <v>7</v>
      </c>
      <c r="D37" s="59"/>
      <c r="E37" s="13"/>
      <c r="F37" s="13"/>
      <c r="G37" s="13"/>
      <c r="H37" s="13" t="s">
        <v>7</v>
      </c>
      <c r="I37" s="13"/>
      <c r="J37" s="13"/>
      <c r="K37" s="13"/>
      <c r="L37" s="13" t="s">
        <v>7</v>
      </c>
      <c r="M37" s="13"/>
      <c r="N37" s="13"/>
      <c r="O37" s="13"/>
      <c r="P37" s="13"/>
      <c r="Q37" s="13"/>
      <c r="R37" s="13"/>
      <c r="S37" s="13"/>
      <c r="T37" s="28"/>
      <c r="U37" s="28"/>
      <c r="V37" s="13"/>
      <c r="W37" s="13"/>
      <c r="X37" s="13" t="s">
        <v>7</v>
      </c>
      <c r="Y37" s="13"/>
      <c r="Z37" s="13"/>
      <c r="AA37" s="13"/>
      <c r="AB37" s="13"/>
      <c r="AC37" s="13"/>
      <c r="AD37" s="13"/>
      <c r="AE37" s="13"/>
      <c r="AF37" s="13"/>
      <c r="AG37" s="13"/>
      <c r="AH37" s="12"/>
      <c r="AI37" s="13"/>
      <c r="AJ37" s="14"/>
      <c r="AK37" s="13" t="s">
        <v>7</v>
      </c>
      <c r="AL37" s="13" t="s">
        <v>7</v>
      </c>
      <c r="AM37" s="15"/>
      <c r="AN37" s="149"/>
      <c r="AO37" s="14"/>
      <c r="AP37" s="14"/>
      <c r="AQ37" s="14" t="s">
        <v>7</v>
      </c>
      <c r="AR37" s="14"/>
      <c r="AS37" s="15"/>
      <c r="AT37" s="14"/>
      <c r="AU37" s="14" t="s">
        <v>7</v>
      </c>
      <c r="AV37" s="14"/>
      <c r="AW37" s="14"/>
      <c r="AX37" s="14"/>
      <c r="AY37" s="14"/>
      <c r="AZ37" s="14"/>
      <c r="BA37" s="30"/>
      <c r="BB37" s="31"/>
      <c r="BC37" s="31" t="str">
        <f t="shared" si="10"/>
        <v/>
      </c>
      <c r="BD37" s="31" t="str">
        <f t="shared" si="11"/>
        <v/>
      </c>
      <c r="BE37" s="31" t="str">
        <f t="shared" si="12"/>
        <v/>
      </c>
      <c r="BF37" s="31" t="str">
        <f t="shared" si="13"/>
        <v/>
      </c>
      <c r="BG37" s="31" t="str">
        <f t="shared" si="14"/>
        <v>Y</v>
      </c>
      <c r="BH37" s="31" t="str">
        <f t="shared" si="15"/>
        <v/>
      </c>
      <c r="BI37" s="31" t="str">
        <f t="shared" si="16"/>
        <v>Y</v>
      </c>
      <c r="BJ37" s="30" t="str">
        <f t="shared" si="17"/>
        <v/>
      </c>
      <c r="BK37" s="31" t="str">
        <f t="shared" si="18"/>
        <v>Y</v>
      </c>
      <c r="BL37" s="30" t="str">
        <f t="shared" si="19"/>
        <v/>
      </c>
      <c r="BM37" s="31" t="str">
        <f t="shared" si="20"/>
        <v/>
      </c>
      <c r="BN37" s="31" t="str">
        <f t="shared" si="21"/>
        <v>Y</v>
      </c>
      <c r="BO37" s="31" t="str">
        <f t="shared" si="22"/>
        <v>Y</v>
      </c>
      <c r="BP37" s="31" t="str">
        <f t="shared" si="23"/>
        <v/>
      </c>
      <c r="BQ37" s="31" t="str">
        <f t="shared" si="24"/>
        <v/>
      </c>
      <c r="BR37" s="31" t="str">
        <f t="shared" si="25"/>
        <v/>
      </c>
      <c r="BS37" s="31" t="str">
        <f t="shared" si="26"/>
        <v>Y</v>
      </c>
      <c r="BT37" s="31" t="str">
        <f t="shared" si="27"/>
        <v>Y</v>
      </c>
      <c r="BU37" s="30" t="str">
        <f t="shared" si="28"/>
        <v>Y</v>
      </c>
      <c r="BV37" s="39" t="str">
        <f t="shared" si="29"/>
        <v>Y</v>
      </c>
      <c r="BW37" s="3" t="s">
        <v>324</v>
      </c>
    </row>
    <row r="38" spans="1:76" s="16" customFormat="1" x14ac:dyDescent="0.35">
      <c r="A38" s="11" t="s">
        <v>50</v>
      </c>
      <c r="B38" s="3" t="s">
        <v>14</v>
      </c>
      <c r="C38" s="12"/>
      <c r="D38" s="59"/>
      <c r="E38" s="13"/>
      <c r="F38" s="13"/>
      <c r="G38" s="13"/>
      <c r="H38" s="13"/>
      <c r="I38" s="13"/>
      <c r="J38" s="13"/>
      <c r="K38" s="13"/>
      <c r="L38" s="13"/>
      <c r="M38" s="13"/>
      <c r="N38" s="13"/>
      <c r="O38" s="13"/>
      <c r="P38" s="13"/>
      <c r="Q38" s="13"/>
      <c r="R38" s="13"/>
      <c r="S38" s="13"/>
      <c r="T38" s="28"/>
      <c r="U38" s="28"/>
      <c r="V38" s="13" t="s">
        <v>7</v>
      </c>
      <c r="W38" s="13"/>
      <c r="X38" s="13"/>
      <c r="Y38" s="13"/>
      <c r="Z38" s="13"/>
      <c r="AA38" s="13"/>
      <c r="AB38" s="13"/>
      <c r="AC38" s="13"/>
      <c r="AD38" s="13"/>
      <c r="AE38" s="13"/>
      <c r="AF38" s="13"/>
      <c r="AG38" s="13"/>
      <c r="AH38" s="12"/>
      <c r="AI38" s="13"/>
      <c r="AJ38" s="14"/>
      <c r="AK38" s="13"/>
      <c r="AL38" s="13" t="s">
        <v>7</v>
      </c>
      <c r="AM38" s="15"/>
      <c r="AN38" s="149"/>
      <c r="AO38" s="14" t="s">
        <v>7</v>
      </c>
      <c r="AP38" s="14"/>
      <c r="AQ38" s="14"/>
      <c r="AR38" s="14"/>
      <c r="AS38" s="15"/>
      <c r="AT38" s="14"/>
      <c r="AU38" s="14"/>
      <c r="AV38" s="14"/>
      <c r="AW38" s="14"/>
      <c r="AX38" s="14"/>
      <c r="AY38" s="14" t="s">
        <v>7</v>
      </c>
      <c r="AZ38" s="14"/>
      <c r="BA38" s="30"/>
      <c r="BB38" s="31"/>
      <c r="BC38" s="31" t="str">
        <f t="shared" si="10"/>
        <v/>
      </c>
      <c r="BD38" s="31" t="str">
        <f t="shared" si="11"/>
        <v/>
      </c>
      <c r="BE38" s="31" t="str">
        <f t="shared" si="12"/>
        <v/>
      </c>
      <c r="BF38" s="31" t="str">
        <f t="shared" si="13"/>
        <v/>
      </c>
      <c r="BG38" s="31" t="str">
        <f t="shared" si="14"/>
        <v/>
      </c>
      <c r="BH38" s="31" t="str">
        <f t="shared" si="15"/>
        <v>Y</v>
      </c>
      <c r="BI38" s="31" t="str">
        <f t="shared" si="16"/>
        <v/>
      </c>
      <c r="BJ38" s="30" t="str">
        <f t="shared" si="17"/>
        <v/>
      </c>
      <c r="BK38" s="31" t="str">
        <f t="shared" si="18"/>
        <v>Y</v>
      </c>
      <c r="BL38" s="30" t="str">
        <f t="shared" si="19"/>
        <v/>
      </c>
      <c r="BM38" s="31" t="str">
        <f t="shared" si="20"/>
        <v/>
      </c>
      <c r="BN38" s="31" t="str">
        <f t="shared" si="21"/>
        <v/>
      </c>
      <c r="BO38" s="31" t="str">
        <f t="shared" si="22"/>
        <v/>
      </c>
      <c r="BP38" s="31" t="str">
        <f t="shared" si="23"/>
        <v/>
      </c>
      <c r="BQ38" s="31" t="str">
        <f t="shared" si="24"/>
        <v>Y</v>
      </c>
      <c r="BR38" s="31" t="str">
        <f t="shared" si="25"/>
        <v/>
      </c>
      <c r="BS38" s="31" t="str">
        <f t="shared" si="26"/>
        <v/>
      </c>
      <c r="BT38" s="31" t="str">
        <f t="shared" si="27"/>
        <v/>
      </c>
      <c r="BU38" s="30" t="str">
        <f t="shared" si="28"/>
        <v/>
      </c>
      <c r="BV38" s="39" t="str">
        <f t="shared" si="29"/>
        <v>Y</v>
      </c>
      <c r="BW38" s="3" t="s">
        <v>311</v>
      </c>
    </row>
    <row r="39" spans="1:76" s="16" customFormat="1" x14ac:dyDescent="0.35">
      <c r="A39" s="11" t="s">
        <v>438</v>
      </c>
      <c r="B39" s="3" t="s">
        <v>14</v>
      </c>
      <c r="C39" s="12"/>
      <c r="D39" s="59"/>
      <c r="E39" s="13"/>
      <c r="F39" s="13"/>
      <c r="G39" s="13"/>
      <c r="H39" s="13"/>
      <c r="I39" s="13"/>
      <c r="J39" s="13"/>
      <c r="K39" s="13"/>
      <c r="L39" s="13"/>
      <c r="M39" s="13"/>
      <c r="N39" s="13"/>
      <c r="O39" s="13"/>
      <c r="P39" s="13"/>
      <c r="Q39" s="13"/>
      <c r="R39" s="13" t="s">
        <v>7</v>
      </c>
      <c r="S39" s="13"/>
      <c r="T39" s="28"/>
      <c r="U39" s="28"/>
      <c r="V39" s="13"/>
      <c r="W39" s="13"/>
      <c r="X39" s="13"/>
      <c r="Y39" s="13"/>
      <c r="Z39" s="13"/>
      <c r="AA39" s="13"/>
      <c r="AB39" s="13"/>
      <c r="AC39" s="13"/>
      <c r="AD39" s="13"/>
      <c r="AE39" s="13"/>
      <c r="AF39" s="13"/>
      <c r="AG39" s="13"/>
      <c r="AH39" s="12"/>
      <c r="AI39" s="13"/>
      <c r="AJ39" s="14"/>
      <c r="AK39" s="13"/>
      <c r="AL39" s="13" t="s">
        <v>7</v>
      </c>
      <c r="AM39" s="15"/>
      <c r="AN39" s="149"/>
      <c r="AO39" s="14" t="s">
        <v>7</v>
      </c>
      <c r="AP39" s="14"/>
      <c r="AQ39" s="14"/>
      <c r="AR39" s="14"/>
      <c r="AS39" s="15"/>
      <c r="AT39" s="14"/>
      <c r="AU39" s="14"/>
      <c r="AV39" s="14"/>
      <c r="AW39" s="14"/>
      <c r="AX39" s="14"/>
      <c r="AY39" s="14" t="s">
        <v>7</v>
      </c>
      <c r="AZ39" s="14"/>
      <c r="BA39" s="30"/>
      <c r="BB39" s="31"/>
      <c r="BC39" s="31" t="str">
        <f t="shared" si="10"/>
        <v/>
      </c>
      <c r="BD39" s="31" t="str">
        <f t="shared" si="11"/>
        <v/>
      </c>
      <c r="BE39" s="31" t="str">
        <f t="shared" si="12"/>
        <v/>
      </c>
      <c r="BF39" s="31" t="str">
        <f t="shared" si="13"/>
        <v>Y</v>
      </c>
      <c r="BG39" s="31" t="str">
        <f t="shared" si="14"/>
        <v/>
      </c>
      <c r="BH39" s="31" t="str">
        <f t="shared" si="15"/>
        <v/>
      </c>
      <c r="BI39" s="31" t="str">
        <f t="shared" si="16"/>
        <v/>
      </c>
      <c r="BJ39" s="30" t="str">
        <f t="shared" si="17"/>
        <v/>
      </c>
      <c r="BK39" s="31" t="str">
        <f t="shared" si="18"/>
        <v>Y</v>
      </c>
      <c r="BL39" s="30" t="str">
        <f t="shared" si="19"/>
        <v/>
      </c>
      <c r="BM39" s="31" t="str">
        <f t="shared" si="20"/>
        <v/>
      </c>
      <c r="BN39" s="31" t="str">
        <f t="shared" si="21"/>
        <v/>
      </c>
      <c r="BO39" s="31" t="str">
        <f t="shared" si="22"/>
        <v/>
      </c>
      <c r="BP39" s="31" t="str">
        <f t="shared" si="23"/>
        <v/>
      </c>
      <c r="BQ39" s="31" t="str">
        <f t="shared" si="24"/>
        <v/>
      </c>
      <c r="BR39" s="31" t="str">
        <f t="shared" si="25"/>
        <v/>
      </c>
      <c r="BS39" s="31" t="str">
        <f t="shared" si="26"/>
        <v/>
      </c>
      <c r="BT39" s="31" t="str">
        <f t="shared" si="27"/>
        <v>Y</v>
      </c>
      <c r="BU39" s="30" t="str">
        <f t="shared" si="28"/>
        <v/>
      </c>
      <c r="BV39" s="39" t="str">
        <f t="shared" si="29"/>
        <v>Y</v>
      </c>
      <c r="BW39" s="3" t="s">
        <v>456</v>
      </c>
    </row>
    <row r="40" spans="1:76" s="16" customFormat="1" x14ac:dyDescent="0.35">
      <c r="A40" s="13" t="s">
        <v>51</v>
      </c>
      <c r="B40" s="3" t="s">
        <v>28</v>
      </c>
      <c r="C40" s="12"/>
      <c r="D40" s="59"/>
      <c r="E40" s="13"/>
      <c r="F40" s="13"/>
      <c r="G40" s="13"/>
      <c r="H40" s="13" t="s">
        <v>7</v>
      </c>
      <c r="I40" s="13"/>
      <c r="J40" s="13"/>
      <c r="K40" s="13"/>
      <c r="L40" s="13"/>
      <c r="M40" s="13"/>
      <c r="N40" s="13"/>
      <c r="O40" s="13"/>
      <c r="P40" s="13"/>
      <c r="Q40" s="13"/>
      <c r="R40" s="13"/>
      <c r="S40" s="13"/>
      <c r="T40" s="28"/>
      <c r="U40" s="28"/>
      <c r="V40" s="13"/>
      <c r="W40" s="13"/>
      <c r="X40" s="13"/>
      <c r="Y40" s="13"/>
      <c r="Z40" s="13"/>
      <c r="AA40" s="13"/>
      <c r="AB40" s="13"/>
      <c r="AC40" s="13"/>
      <c r="AD40" s="13"/>
      <c r="AE40" s="13"/>
      <c r="AF40" s="13"/>
      <c r="AG40" s="13"/>
      <c r="AH40" s="12"/>
      <c r="AI40" s="13"/>
      <c r="AJ40" s="14"/>
      <c r="AK40" s="13" t="s">
        <v>7</v>
      </c>
      <c r="AL40" s="13"/>
      <c r="AM40" s="15"/>
      <c r="AN40" s="149"/>
      <c r="AO40" s="14" t="s">
        <v>7</v>
      </c>
      <c r="AP40" s="14"/>
      <c r="AQ40" s="14"/>
      <c r="AR40" s="14"/>
      <c r="AS40" s="15"/>
      <c r="AT40" s="14"/>
      <c r="AU40" s="14"/>
      <c r="AV40" s="14"/>
      <c r="AW40" s="14"/>
      <c r="AX40" s="14"/>
      <c r="AY40" s="14"/>
      <c r="AZ40" s="14" t="s">
        <v>7</v>
      </c>
      <c r="BA40" s="30"/>
      <c r="BB40" s="31"/>
      <c r="BC40" s="31" t="str">
        <f t="shared" si="10"/>
        <v/>
      </c>
      <c r="BD40" s="31" t="str">
        <f t="shared" si="11"/>
        <v/>
      </c>
      <c r="BE40" s="31" t="str">
        <f t="shared" si="12"/>
        <v/>
      </c>
      <c r="BF40" s="31" t="str">
        <f t="shared" si="13"/>
        <v/>
      </c>
      <c r="BG40" s="31" t="str">
        <f t="shared" si="14"/>
        <v/>
      </c>
      <c r="BH40" s="31" t="str">
        <f t="shared" si="15"/>
        <v/>
      </c>
      <c r="BI40" s="31" t="str">
        <f t="shared" si="16"/>
        <v>Y</v>
      </c>
      <c r="BJ40" s="30" t="str">
        <f t="shared" si="17"/>
        <v/>
      </c>
      <c r="BK40" s="31" t="str">
        <f t="shared" si="18"/>
        <v>Y</v>
      </c>
      <c r="BL40" s="30" t="str">
        <f t="shared" si="19"/>
        <v/>
      </c>
      <c r="BM40" s="31" t="str">
        <f t="shared" si="20"/>
        <v/>
      </c>
      <c r="BN40" s="31" t="str">
        <f t="shared" si="21"/>
        <v/>
      </c>
      <c r="BO40" s="31" t="str">
        <f t="shared" si="22"/>
        <v/>
      </c>
      <c r="BP40" s="31" t="str">
        <f t="shared" si="23"/>
        <v/>
      </c>
      <c r="BQ40" s="31" t="str">
        <f t="shared" si="24"/>
        <v/>
      </c>
      <c r="BR40" s="31" t="str">
        <f t="shared" si="25"/>
        <v/>
      </c>
      <c r="BS40" s="31" t="str">
        <f t="shared" si="26"/>
        <v>Y</v>
      </c>
      <c r="BT40" s="31" t="str">
        <f t="shared" si="27"/>
        <v/>
      </c>
      <c r="BU40" s="30" t="str">
        <f t="shared" si="28"/>
        <v/>
      </c>
      <c r="BV40" s="39" t="str">
        <f t="shared" si="29"/>
        <v>Y</v>
      </c>
      <c r="BW40" s="3" t="s">
        <v>192</v>
      </c>
    </row>
    <row r="41" spans="1:76" s="16" customFormat="1" ht="43.5" x14ac:dyDescent="0.35">
      <c r="A41" s="11" t="s">
        <v>52</v>
      </c>
      <c r="B41" s="3" t="s">
        <v>14</v>
      </c>
      <c r="C41" s="12"/>
      <c r="D41" s="59"/>
      <c r="E41" s="13"/>
      <c r="F41" s="13"/>
      <c r="G41" s="13"/>
      <c r="H41" s="13"/>
      <c r="I41" s="13"/>
      <c r="J41" s="13"/>
      <c r="K41" s="13"/>
      <c r="L41" s="13"/>
      <c r="M41" s="13"/>
      <c r="N41" s="13"/>
      <c r="O41" s="13"/>
      <c r="P41" s="13"/>
      <c r="Q41" s="13" t="s">
        <v>7</v>
      </c>
      <c r="R41" s="13" t="s">
        <v>7</v>
      </c>
      <c r="S41" s="13"/>
      <c r="T41" s="28"/>
      <c r="U41" s="28"/>
      <c r="V41" s="13"/>
      <c r="W41" s="13"/>
      <c r="X41" s="13"/>
      <c r="Y41" s="13"/>
      <c r="Z41" s="13" t="s">
        <v>7</v>
      </c>
      <c r="AA41" s="13"/>
      <c r="AB41" s="13"/>
      <c r="AC41" s="13"/>
      <c r="AD41" s="13"/>
      <c r="AE41" s="13"/>
      <c r="AF41" s="13"/>
      <c r="AG41" s="13"/>
      <c r="AH41" s="12"/>
      <c r="AI41" s="13"/>
      <c r="AJ41" s="14"/>
      <c r="AK41" s="13"/>
      <c r="AL41" s="13" t="s">
        <v>7</v>
      </c>
      <c r="AM41" s="15"/>
      <c r="AN41" s="149"/>
      <c r="AO41" s="14" t="s">
        <v>7</v>
      </c>
      <c r="AP41" s="14"/>
      <c r="AQ41" s="14"/>
      <c r="AR41" s="14"/>
      <c r="AS41" s="15"/>
      <c r="AT41" s="14"/>
      <c r="AU41" s="14"/>
      <c r="AV41" s="14"/>
      <c r="AW41" s="14"/>
      <c r="AX41" s="14"/>
      <c r="AY41" s="14" t="s">
        <v>7</v>
      </c>
      <c r="AZ41" s="14"/>
      <c r="BA41" s="30"/>
      <c r="BB41" s="31"/>
      <c r="BC41" s="31" t="str">
        <f t="shared" si="10"/>
        <v>Y</v>
      </c>
      <c r="BD41" s="31" t="str">
        <f t="shared" si="11"/>
        <v/>
      </c>
      <c r="BE41" s="31" t="str">
        <f t="shared" si="12"/>
        <v/>
      </c>
      <c r="BF41" s="31" t="str">
        <f t="shared" si="13"/>
        <v>Y</v>
      </c>
      <c r="BG41" s="31" t="str">
        <f t="shared" si="14"/>
        <v/>
      </c>
      <c r="BH41" s="31" t="str">
        <f t="shared" si="15"/>
        <v>Y</v>
      </c>
      <c r="BI41" s="31" t="str">
        <f t="shared" si="16"/>
        <v/>
      </c>
      <c r="BJ41" s="30" t="str">
        <f t="shared" si="17"/>
        <v>Y</v>
      </c>
      <c r="BK41" s="31" t="str">
        <f t="shared" si="18"/>
        <v>Y</v>
      </c>
      <c r="BL41" s="30" t="str">
        <f t="shared" si="19"/>
        <v/>
      </c>
      <c r="BM41" s="31" t="str">
        <f t="shared" si="20"/>
        <v/>
      </c>
      <c r="BN41" s="31" t="str">
        <f t="shared" si="21"/>
        <v>Y</v>
      </c>
      <c r="BO41" s="31" t="str">
        <f t="shared" si="22"/>
        <v/>
      </c>
      <c r="BP41" s="31" t="str">
        <f t="shared" si="23"/>
        <v/>
      </c>
      <c r="BQ41" s="31" t="str">
        <f t="shared" si="24"/>
        <v/>
      </c>
      <c r="BR41" s="31" t="str">
        <f t="shared" si="25"/>
        <v/>
      </c>
      <c r="BS41" s="31" t="str">
        <f t="shared" si="26"/>
        <v>Y</v>
      </c>
      <c r="BT41" s="31" t="str">
        <f t="shared" si="27"/>
        <v>Y</v>
      </c>
      <c r="BU41" s="30" t="str">
        <f t="shared" si="28"/>
        <v>Y</v>
      </c>
      <c r="BV41" s="39" t="str">
        <f t="shared" si="29"/>
        <v>Y</v>
      </c>
      <c r="BW41" s="3" t="s">
        <v>240</v>
      </c>
    </row>
    <row r="42" spans="1:76" x14ac:dyDescent="0.35">
      <c r="A42" s="11" t="s">
        <v>266</v>
      </c>
      <c r="B42" s="3" t="s">
        <v>14</v>
      </c>
      <c r="C42" s="12"/>
      <c r="D42" s="59"/>
      <c r="E42" s="13"/>
      <c r="F42" s="13"/>
      <c r="G42" s="13"/>
      <c r="H42" s="13"/>
      <c r="I42" s="13"/>
      <c r="J42" s="13"/>
      <c r="K42" s="13"/>
      <c r="L42" s="13"/>
      <c r="N42" s="13"/>
      <c r="Q42" s="13" t="s">
        <v>7</v>
      </c>
      <c r="R42" s="13"/>
      <c r="S42" s="13"/>
      <c r="V42" s="13"/>
      <c r="W42" s="13"/>
      <c r="X42" s="13"/>
      <c r="Y42" s="13"/>
      <c r="Z42" s="13"/>
      <c r="AA42" s="13"/>
      <c r="AB42" s="13"/>
      <c r="AD42" s="13"/>
      <c r="AE42" s="13"/>
      <c r="AF42" s="13"/>
      <c r="AG42" s="13"/>
      <c r="AH42" s="12"/>
      <c r="AI42" s="13"/>
      <c r="AJ42" s="14"/>
      <c r="AK42" s="13"/>
      <c r="AL42" s="13" t="s">
        <v>7</v>
      </c>
      <c r="AM42" s="15"/>
      <c r="AN42" s="149"/>
      <c r="AO42" s="14" t="s">
        <v>7</v>
      </c>
      <c r="AP42" s="14"/>
      <c r="AQ42" s="14"/>
      <c r="AR42" s="14"/>
      <c r="AS42" s="15"/>
      <c r="AT42" s="14"/>
      <c r="AU42" s="14"/>
      <c r="AV42" s="14"/>
      <c r="AW42" s="14"/>
      <c r="AX42" s="14"/>
      <c r="AY42" s="14" t="s">
        <v>7</v>
      </c>
      <c r="AZ42" s="14"/>
      <c r="BC42" s="31" t="str">
        <f t="shared" si="10"/>
        <v/>
      </c>
      <c r="BD42" s="31" t="str">
        <f t="shared" si="11"/>
        <v/>
      </c>
      <c r="BE42" s="31" t="str">
        <f t="shared" si="12"/>
        <v/>
      </c>
      <c r="BF42" s="31" t="str">
        <f t="shared" si="13"/>
        <v/>
      </c>
      <c r="BG42" s="31" t="str">
        <f t="shared" si="14"/>
        <v/>
      </c>
      <c r="BH42" s="31" t="str">
        <f t="shared" si="15"/>
        <v>Y</v>
      </c>
      <c r="BI42" s="31" t="str">
        <f t="shared" si="16"/>
        <v/>
      </c>
      <c r="BJ42" s="30" t="str">
        <f t="shared" si="17"/>
        <v/>
      </c>
      <c r="BK42" s="31" t="str">
        <f t="shared" si="18"/>
        <v>Y</v>
      </c>
      <c r="BL42" s="30" t="str">
        <f t="shared" si="19"/>
        <v/>
      </c>
      <c r="BM42" s="31" t="str">
        <f t="shared" si="20"/>
        <v/>
      </c>
      <c r="BN42" s="31" t="str">
        <f t="shared" si="21"/>
        <v/>
      </c>
      <c r="BO42" s="31" t="str">
        <f t="shared" si="22"/>
        <v/>
      </c>
      <c r="BP42" s="31" t="str">
        <f t="shared" si="23"/>
        <v/>
      </c>
      <c r="BQ42" s="31" t="str">
        <f t="shared" si="24"/>
        <v/>
      </c>
      <c r="BR42" s="31" t="str">
        <f t="shared" si="25"/>
        <v/>
      </c>
      <c r="BS42" s="31" t="str">
        <f t="shared" si="26"/>
        <v>Y</v>
      </c>
      <c r="BT42" s="31" t="str">
        <f t="shared" si="27"/>
        <v/>
      </c>
      <c r="BU42" s="30" t="str">
        <f t="shared" si="28"/>
        <v/>
      </c>
      <c r="BV42" s="39" t="str">
        <f t="shared" si="29"/>
        <v>Y</v>
      </c>
      <c r="BW42" s="3" t="s">
        <v>267</v>
      </c>
    </row>
    <row r="43" spans="1:76" x14ac:dyDescent="0.35">
      <c r="A43" s="11" t="s">
        <v>222</v>
      </c>
      <c r="B43" s="3" t="s">
        <v>46</v>
      </c>
      <c r="C43" s="12"/>
      <c r="D43" s="59"/>
      <c r="E43" s="13"/>
      <c r="F43" s="13"/>
      <c r="G43" s="13"/>
      <c r="H43" s="13"/>
      <c r="I43" s="13"/>
      <c r="J43" s="13"/>
      <c r="K43" s="13"/>
      <c r="L43" s="13"/>
      <c r="N43" s="13"/>
      <c r="Q43" s="13"/>
      <c r="R43" s="13"/>
      <c r="S43" s="13"/>
      <c r="T43" s="28" t="s">
        <v>7</v>
      </c>
      <c r="V43" s="13"/>
      <c r="W43" s="13"/>
      <c r="X43" s="13"/>
      <c r="Y43" s="13"/>
      <c r="Z43" s="13"/>
      <c r="AA43" s="13"/>
      <c r="AB43" s="13"/>
      <c r="AD43" s="13"/>
      <c r="AE43" s="13"/>
      <c r="AF43" s="13"/>
      <c r="AG43" s="13"/>
      <c r="AH43" s="12"/>
      <c r="AI43" s="13"/>
      <c r="AJ43" s="14"/>
      <c r="AK43" s="13" t="s">
        <v>7</v>
      </c>
      <c r="AL43" s="13"/>
      <c r="AM43" s="15"/>
      <c r="AN43" s="149"/>
      <c r="AO43" s="14"/>
      <c r="AP43" s="14"/>
      <c r="AQ43" s="11" t="s">
        <v>7</v>
      </c>
      <c r="AR43" s="11"/>
      <c r="AS43" s="15"/>
      <c r="AT43" s="14"/>
      <c r="AU43" s="14"/>
      <c r="AV43" s="14"/>
      <c r="AW43" s="14"/>
      <c r="AX43" s="14"/>
      <c r="AY43" s="14"/>
      <c r="AZ43" s="14" t="s">
        <v>7</v>
      </c>
      <c r="BC43" s="31" t="str">
        <f t="shared" si="10"/>
        <v/>
      </c>
      <c r="BD43" s="31" t="str">
        <f t="shared" si="11"/>
        <v/>
      </c>
      <c r="BE43" s="31" t="str">
        <f t="shared" si="12"/>
        <v/>
      </c>
      <c r="BF43" s="31" t="str">
        <f t="shared" si="13"/>
        <v/>
      </c>
      <c r="BG43" s="31" t="str">
        <f t="shared" si="14"/>
        <v/>
      </c>
      <c r="BH43" s="31" t="str">
        <f t="shared" si="15"/>
        <v/>
      </c>
      <c r="BI43" s="31" t="str">
        <f t="shared" si="16"/>
        <v>Y</v>
      </c>
      <c r="BJ43" s="30" t="str">
        <f t="shared" si="17"/>
        <v/>
      </c>
      <c r="BK43" s="31" t="str">
        <f t="shared" si="18"/>
        <v>Y</v>
      </c>
      <c r="BL43" s="30" t="str">
        <f t="shared" si="19"/>
        <v/>
      </c>
      <c r="BM43" s="31" t="str">
        <f t="shared" si="20"/>
        <v/>
      </c>
      <c r="BN43" s="31" t="str">
        <f t="shared" si="21"/>
        <v/>
      </c>
      <c r="BO43" s="31" t="str">
        <f t="shared" si="22"/>
        <v/>
      </c>
      <c r="BP43" s="31" t="str">
        <f t="shared" si="23"/>
        <v/>
      </c>
      <c r="BQ43" s="31" t="str">
        <f t="shared" si="24"/>
        <v>Y</v>
      </c>
      <c r="BR43" s="31" t="str">
        <f t="shared" si="25"/>
        <v/>
      </c>
      <c r="BS43" s="31" t="str">
        <f t="shared" si="26"/>
        <v/>
      </c>
      <c r="BT43" s="31" t="str">
        <f t="shared" si="27"/>
        <v/>
      </c>
      <c r="BU43" s="30" t="str">
        <f t="shared" si="28"/>
        <v/>
      </c>
      <c r="BV43" s="39" t="str">
        <f t="shared" si="29"/>
        <v>Y</v>
      </c>
      <c r="BW43" s="3" t="s">
        <v>229</v>
      </c>
      <c r="BX43" s="16"/>
    </row>
    <row r="44" spans="1:76" s="11" customFormat="1" ht="29" x14ac:dyDescent="0.35">
      <c r="A44" s="11" t="s">
        <v>228</v>
      </c>
      <c r="B44" s="3" t="s">
        <v>30</v>
      </c>
      <c r="C44" s="12"/>
      <c r="D44" s="59"/>
      <c r="E44" s="13"/>
      <c r="F44" s="13"/>
      <c r="G44" s="13"/>
      <c r="H44" s="13"/>
      <c r="I44" s="13"/>
      <c r="J44" s="13"/>
      <c r="K44" s="13"/>
      <c r="L44" s="13"/>
      <c r="M44" s="13"/>
      <c r="N44" s="13"/>
      <c r="O44" s="13"/>
      <c r="P44" s="13" t="s">
        <v>7</v>
      </c>
      <c r="Q44" s="13"/>
      <c r="R44" s="13"/>
      <c r="S44" s="13"/>
      <c r="T44" s="28"/>
      <c r="U44" s="28"/>
      <c r="V44" s="13"/>
      <c r="W44" s="13"/>
      <c r="X44" s="13"/>
      <c r="Y44" s="13"/>
      <c r="Z44" s="13"/>
      <c r="AA44" s="13"/>
      <c r="AB44" s="13"/>
      <c r="AC44" s="13"/>
      <c r="AD44" s="13"/>
      <c r="AE44" s="13"/>
      <c r="AF44" s="13"/>
      <c r="AG44" s="13"/>
      <c r="AH44" s="12"/>
      <c r="AI44" s="13"/>
      <c r="AJ44" s="14" t="s">
        <v>7</v>
      </c>
      <c r="AK44" s="13"/>
      <c r="AL44" s="13"/>
      <c r="AM44" s="15"/>
      <c r="AN44" s="149"/>
      <c r="AO44" s="14"/>
      <c r="AP44" s="14"/>
      <c r="AQ44" s="14" t="s">
        <v>7</v>
      </c>
      <c r="AR44" s="14"/>
      <c r="AS44" s="15"/>
      <c r="AT44" s="14"/>
      <c r="AU44" s="14"/>
      <c r="AV44" s="14" t="s">
        <v>7</v>
      </c>
      <c r="AW44" s="14"/>
      <c r="AX44" s="14"/>
      <c r="AY44" s="14"/>
      <c r="AZ44" s="14"/>
      <c r="BA44" s="30"/>
      <c r="BB44" s="31"/>
      <c r="BC44" s="31" t="str">
        <f t="shared" si="10"/>
        <v>Y</v>
      </c>
      <c r="BD44" s="31" t="str">
        <f t="shared" si="11"/>
        <v/>
      </c>
      <c r="BE44" s="31" t="str">
        <f t="shared" si="12"/>
        <v/>
      </c>
      <c r="BF44" s="31" t="str">
        <f t="shared" si="13"/>
        <v/>
      </c>
      <c r="BG44" s="31" t="str">
        <f t="shared" si="14"/>
        <v/>
      </c>
      <c r="BH44" s="31" t="str">
        <f t="shared" si="15"/>
        <v/>
      </c>
      <c r="BI44" s="31" t="str">
        <f t="shared" si="16"/>
        <v/>
      </c>
      <c r="BJ44" s="30" t="str">
        <f t="shared" si="17"/>
        <v>Y</v>
      </c>
      <c r="BK44" s="31" t="str">
        <f t="shared" si="18"/>
        <v/>
      </c>
      <c r="BL44" s="30" t="str">
        <f t="shared" si="19"/>
        <v>Y</v>
      </c>
      <c r="BM44" s="31" t="str">
        <f t="shared" si="20"/>
        <v/>
      </c>
      <c r="BN44" s="31" t="str">
        <f t="shared" si="21"/>
        <v/>
      </c>
      <c r="BO44" s="31" t="str">
        <f t="shared" si="22"/>
        <v/>
      </c>
      <c r="BP44" s="31" t="str">
        <f t="shared" si="23"/>
        <v/>
      </c>
      <c r="BQ44" s="31" t="str">
        <f t="shared" si="24"/>
        <v/>
      </c>
      <c r="BR44" s="31" t="str">
        <f t="shared" si="25"/>
        <v/>
      </c>
      <c r="BS44" s="31" t="str">
        <f t="shared" si="26"/>
        <v/>
      </c>
      <c r="BT44" s="31" t="str">
        <f t="shared" si="27"/>
        <v/>
      </c>
      <c r="BU44" s="30" t="str">
        <f t="shared" si="28"/>
        <v>Y</v>
      </c>
      <c r="BV44" s="39" t="str">
        <f t="shared" si="29"/>
        <v/>
      </c>
      <c r="BW44" s="3" t="s">
        <v>185</v>
      </c>
    </row>
    <row r="45" spans="1:76" x14ac:dyDescent="0.35">
      <c r="A45" s="11" t="s">
        <v>53</v>
      </c>
      <c r="B45" s="12" t="s">
        <v>54</v>
      </c>
      <c r="C45" s="12"/>
      <c r="D45" s="59"/>
      <c r="E45" s="13"/>
      <c r="F45" s="13"/>
      <c r="G45" s="13"/>
      <c r="H45" s="13"/>
      <c r="I45" s="13"/>
      <c r="J45" s="13" t="s">
        <v>7</v>
      </c>
      <c r="K45" s="13"/>
      <c r="L45" s="13"/>
      <c r="N45" s="13"/>
      <c r="Q45" s="13"/>
      <c r="R45" s="13"/>
      <c r="S45" s="13"/>
      <c r="U45" s="28" t="s">
        <v>7</v>
      </c>
      <c r="V45" s="13"/>
      <c r="W45" s="13"/>
      <c r="X45" s="13"/>
      <c r="Y45" s="13"/>
      <c r="Z45" s="13"/>
      <c r="AA45" s="13"/>
      <c r="AB45" s="13"/>
      <c r="AD45" s="13"/>
      <c r="AE45" s="13"/>
      <c r="AF45" s="13"/>
      <c r="AG45" s="13"/>
      <c r="AH45" s="12" t="s">
        <v>7</v>
      </c>
      <c r="AI45" s="13"/>
      <c r="AJ45" s="14"/>
      <c r="AK45" s="13"/>
      <c r="AL45" s="13" t="s">
        <v>7</v>
      </c>
      <c r="AM45" s="15"/>
      <c r="AN45" s="149"/>
      <c r="AO45" s="14"/>
      <c r="AP45" s="14"/>
      <c r="AQ45" s="14" t="s">
        <v>7</v>
      </c>
      <c r="AR45" s="14"/>
      <c r="AS45" s="15"/>
      <c r="AT45" s="14"/>
      <c r="AU45" s="14"/>
      <c r="AV45" s="14"/>
      <c r="AW45" s="14"/>
      <c r="AX45" s="14" t="s">
        <v>7</v>
      </c>
      <c r="AY45" s="14"/>
      <c r="AZ45" s="14"/>
      <c r="BC45" s="31" t="str">
        <f t="shared" si="10"/>
        <v/>
      </c>
      <c r="BD45" s="31" t="str">
        <f t="shared" si="11"/>
        <v/>
      </c>
      <c r="BE45" s="31" t="str">
        <f t="shared" si="12"/>
        <v/>
      </c>
      <c r="BF45" s="31" t="str">
        <f t="shared" si="13"/>
        <v/>
      </c>
      <c r="BG45" s="31" t="str">
        <f t="shared" si="14"/>
        <v/>
      </c>
      <c r="BH45" s="31" t="str">
        <f t="shared" si="15"/>
        <v>Y</v>
      </c>
      <c r="BI45" s="31" t="str">
        <f t="shared" si="16"/>
        <v/>
      </c>
      <c r="BJ45" s="30" t="str">
        <f t="shared" si="17"/>
        <v/>
      </c>
      <c r="BK45" s="31" t="str">
        <f t="shared" si="18"/>
        <v>Y</v>
      </c>
      <c r="BL45" s="30" t="str">
        <f t="shared" si="19"/>
        <v/>
      </c>
      <c r="BM45" s="31" t="str">
        <f t="shared" si="20"/>
        <v/>
      </c>
      <c r="BN45" s="31" t="str">
        <f t="shared" si="21"/>
        <v/>
      </c>
      <c r="BO45" s="31" t="str">
        <f t="shared" si="22"/>
        <v/>
      </c>
      <c r="BP45" s="31" t="str">
        <f t="shared" si="23"/>
        <v/>
      </c>
      <c r="BQ45" s="31" t="str">
        <f t="shared" si="24"/>
        <v>Y</v>
      </c>
      <c r="BR45" s="31" t="str">
        <f t="shared" si="25"/>
        <v>Y</v>
      </c>
      <c r="BS45" s="31" t="str">
        <f t="shared" si="26"/>
        <v/>
      </c>
      <c r="BT45" s="31" t="str">
        <f t="shared" si="27"/>
        <v/>
      </c>
      <c r="BU45" s="30" t="str">
        <f t="shared" si="28"/>
        <v/>
      </c>
      <c r="BV45" s="39" t="str">
        <f t="shared" si="29"/>
        <v>Y</v>
      </c>
      <c r="BW45" s="3" t="s">
        <v>193</v>
      </c>
    </row>
    <row r="46" spans="1:76" x14ac:dyDescent="0.35">
      <c r="A46" s="11" t="s">
        <v>55</v>
      </c>
      <c r="B46" s="3" t="s">
        <v>18</v>
      </c>
      <c r="C46" s="12" t="s">
        <v>7</v>
      </c>
      <c r="D46" s="59"/>
      <c r="E46" s="13"/>
      <c r="F46" s="13"/>
      <c r="G46" s="13"/>
      <c r="H46" s="13"/>
      <c r="I46" s="13"/>
      <c r="J46" s="13"/>
      <c r="K46" s="13"/>
      <c r="L46" s="13"/>
      <c r="N46" s="13"/>
      <c r="Q46" s="13"/>
      <c r="R46" s="13"/>
      <c r="S46" s="13"/>
      <c r="V46" s="13"/>
      <c r="W46" s="13"/>
      <c r="X46" s="13"/>
      <c r="Y46" s="13"/>
      <c r="Z46" s="13"/>
      <c r="AA46" s="13"/>
      <c r="AB46" s="13"/>
      <c r="AD46" s="13"/>
      <c r="AE46" s="13"/>
      <c r="AF46" s="13"/>
      <c r="AG46" s="13"/>
      <c r="AH46" s="12"/>
      <c r="AI46" s="13"/>
      <c r="AJ46" s="14"/>
      <c r="AK46" s="13" t="s">
        <v>7</v>
      </c>
      <c r="AL46" s="13"/>
      <c r="AM46" s="15"/>
      <c r="AN46" s="149"/>
      <c r="AO46" s="14"/>
      <c r="AP46" s="14"/>
      <c r="AQ46" s="14" t="s">
        <v>7</v>
      </c>
      <c r="AR46" s="14"/>
      <c r="AS46" s="15"/>
      <c r="AT46" s="14" t="s">
        <v>7</v>
      </c>
      <c r="AU46" s="14"/>
      <c r="AV46" s="14"/>
      <c r="AW46" s="14"/>
      <c r="AX46" s="14"/>
      <c r="AY46" s="14"/>
      <c r="AZ46" s="14"/>
      <c r="BC46" s="31" t="str">
        <f t="shared" si="10"/>
        <v/>
      </c>
      <c r="BD46" s="31" t="str">
        <f t="shared" si="11"/>
        <v/>
      </c>
      <c r="BE46" s="31" t="str">
        <f t="shared" si="12"/>
        <v/>
      </c>
      <c r="BF46" s="31" t="str">
        <f t="shared" si="13"/>
        <v/>
      </c>
      <c r="BG46" s="31" t="str">
        <f t="shared" si="14"/>
        <v>Y</v>
      </c>
      <c r="BH46" s="31" t="str">
        <f t="shared" si="15"/>
        <v/>
      </c>
      <c r="BI46" s="31" t="str">
        <f t="shared" si="16"/>
        <v/>
      </c>
      <c r="BJ46" s="30" t="str">
        <f t="shared" si="17"/>
        <v/>
      </c>
      <c r="BK46" s="31" t="str">
        <f t="shared" si="18"/>
        <v>Y</v>
      </c>
      <c r="BL46" s="30" t="str">
        <f t="shared" si="19"/>
        <v/>
      </c>
      <c r="BM46" s="31" t="str">
        <f t="shared" si="20"/>
        <v/>
      </c>
      <c r="BN46" s="31" t="str">
        <f t="shared" si="21"/>
        <v/>
      </c>
      <c r="BO46" s="31" t="str">
        <f t="shared" si="22"/>
        <v>Y</v>
      </c>
      <c r="BP46" s="31" t="str">
        <f t="shared" si="23"/>
        <v/>
      </c>
      <c r="BQ46" s="31" t="str">
        <f t="shared" si="24"/>
        <v/>
      </c>
      <c r="BR46" s="31" t="str">
        <f t="shared" si="25"/>
        <v/>
      </c>
      <c r="BS46" s="31" t="str">
        <f t="shared" si="26"/>
        <v/>
      </c>
      <c r="BT46" s="31" t="str">
        <f t="shared" si="27"/>
        <v/>
      </c>
      <c r="BU46" s="30" t="str">
        <f t="shared" si="28"/>
        <v>Y</v>
      </c>
      <c r="BV46" s="39" t="str">
        <f t="shared" si="29"/>
        <v/>
      </c>
      <c r="BW46" s="3" t="s">
        <v>235</v>
      </c>
    </row>
    <row r="47" spans="1:76" ht="43.5" x14ac:dyDescent="0.35">
      <c r="A47" s="11" t="s">
        <v>56</v>
      </c>
      <c r="B47" s="3" t="s">
        <v>9</v>
      </c>
      <c r="C47" s="12" t="s">
        <v>7</v>
      </c>
      <c r="D47" s="59"/>
      <c r="E47" s="13" t="s">
        <v>7</v>
      </c>
      <c r="F47" s="13"/>
      <c r="G47" s="13"/>
      <c r="H47" s="13" t="s">
        <v>7</v>
      </c>
      <c r="I47" s="13"/>
      <c r="J47" s="13"/>
      <c r="K47" s="13"/>
      <c r="L47" s="13" t="s">
        <v>7</v>
      </c>
      <c r="N47" s="13"/>
      <c r="Q47" s="13"/>
      <c r="R47" s="13"/>
      <c r="S47" s="13"/>
      <c r="U47" s="28" t="s">
        <v>7</v>
      </c>
      <c r="V47" s="13"/>
      <c r="W47" s="13"/>
      <c r="X47" s="13"/>
      <c r="Y47" s="13"/>
      <c r="Z47" s="13"/>
      <c r="AA47" s="13"/>
      <c r="AB47" s="13"/>
      <c r="AD47" s="13"/>
      <c r="AE47" s="13"/>
      <c r="AF47" s="13"/>
      <c r="AG47" s="13"/>
      <c r="AH47" s="12"/>
      <c r="AI47" s="13"/>
      <c r="AJ47" s="14"/>
      <c r="AK47" s="13" t="s">
        <v>7</v>
      </c>
      <c r="AL47" s="13" t="s">
        <v>7</v>
      </c>
      <c r="AM47" s="15"/>
      <c r="AN47" s="149"/>
      <c r="AO47" s="14"/>
      <c r="AP47" s="14"/>
      <c r="AQ47" s="14" t="s">
        <v>7</v>
      </c>
      <c r="AR47" s="14"/>
      <c r="AS47" s="15"/>
      <c r="AT47" s="14" t="s">
        <v>7</v>
      </c>
      <c r="AU47" s="14"/>
      <c r="AV47" s="14"/>
      <c r="AW47" s="14"/>
      <c r="AX47" s="14"/>
      <c r="AY47" s="14"/>
      <c r="AZ47" s="14"/>
      <c r="BC47" s="31" t="str">
        <f t="shared" si="10"/>
        <v/>
      </c>
      <c r="BD47" s="31" t="str">
        <f t="shared" si="11"/>
        <v/>
      </c>
      <c r="BE47" s="31" t="str">
        <f t="shared" si="12"/>
        <v/>
      </c>
      <c r="BF47" s="31" t="str">
        <f t="shared" si="13"/>
        <v/>
      </c>
      <c r="BG47" s="31" t="str">
        <f t="shared" si="14"/>
        <v>Y</v>
      </c>
      <c r="BH47" s="31" t="str">
        <f t="shared" si="15"/>
        <v>Y</v>
      </c>
      <c r="BI47" s="31" t="str">
        <f t="shared" si="16"/>
        <v>Y</v>
      </c>
      <c r="BJ47" s="30" t="str">
        <f t="shared" si="17"/>
        <v/>
      </c>
      <c r="BK47" s="31" t="str">
        <f t="shared" si="18"/>
        <v>Y</v>
      </c>
      <c r="BL47" s="30" t="str">
        <f t="shared" si="19"/>
        <v/>
      </c>
      <c r="BM47" s="31" t="str">
        <f t="shared" si="20"/>
        <v/>
      </c>
      <c r="BN47" s="31" t="str">
        <f t="shared" si="21"/>
        <v>Y</v>
      </c>
      <c r="BO47" s="31" t="str">
        <f t="shared" si="22"/>
        <v>Y</v>
      </c>
      <c r="BP47" s="31" t="str">
        <f t="shared" si="23"/>
        <v/>
      </c>
      <c r="BQ47" s="31" t="str">
        <f t="shared" si="24"/>
        <v>Y</v>
      </c>
      <c r="BR47" s="31" t="str">
        <f t="shared" si="25"/>
        <v/>
      </c>
      <c r="BS47" s="31" t="str">
        <f t="shared" si="26"/>
        <v>Y</v>
      </c>
      <c r="BT47" s="31" t="str">
        <f t="shared" si="27"/>
        <v/>
      </c>
      <c r="BU47" s="30" t="str">
        <f t="shared" si="28"/>
        <v>Y</v>
      </c>
      <c r="BV47" s="39" t="str">
        <f t="shared" si="29"/>
        <v>Y</v>
      </c>
      <c r="BW47" s="3" t="s">
        <v>439</v>
      </c>
    </row>
    <row r="48" spans="1:76" x14ac:dyDescent="0.35">
      <c r="A48" s="11" t="s">
        <v>57</v>
      </c>
      <c r="B48" s="3" t="s">
        <v>12</v>
      </c>
      <c r="C48" s="12"/>
      <c r="D48" s="59"/>
      <c r="E48" s="13"/>
      <c r="F48" s="13"/>
      <c r="G48" s="13"/>
      <c r="H48" s="13"/>
      <c r="I48" s="13"/>
      <c r="J48" s="13"/>
      <c r="K48" s="13"/>
      <c r="L48" s="13"/>
      <c r="N48" s="13"/>
      <c r="Q48" s="13"/>
      <c r="R48" s="13"/>
      <c r="S48" s="13"/>
      <c r="T48" s="28" t="s">
        <v>7</v>
      </c>
      <c r="V48" s="13"/>
      <c r="W48" s="13"/>
      <c r="X48" s="13" t="s">
        <v>7</v>
      </c>
      <c r="Y48" s="13"/>
      <c r="Z48" s="13"/>
      <c r="AA48" s="13"/>
      <c r="AB48" s="13"/>
      <c r="AD48" s="13"/>
      <c r="AE48" s="13"/>
      <c r="AF48" s="13"/>
      <c r="AG48" s="13"/>
      <c r="AH48" s="12"/>
      <c r="AI48" s="13"/>
      <c r="AJ48" s="14"/>
      <c r="AK48" s="13" t="s">
        <v>7</v>
      </c>
      <c r="AL48" s="13" t="s">
        <v>7</v>
      </c>
      <c r="AM48" s="15"/>
      <c r="AN48" s="149"/>
      <c r="AO48" s="14"/>
      <c r="AP48" s="14"/>
      <c r="AQ48" s="14"/>
      <c r="AR48" s="14" t="s">
        <v>7</v>
      </c>
      <c r="AS48" s="15" t="s">
        <v>7</v>
      </c>
      <c r="AT48" s="14"/>
      <c r="AU48" s="14"/>
      <c r="AV48" s="14"/>
      <c r="AW48" s="14"/>
      <c r="AX48" s="14"/>
      <c r="AY48" s="14"/>
      <c r="AZ48" s="14"/>
      <c r="BC48" s="31" t="str">
        <f t="shared" si="10"/>
        <v/>
      </c>
      <c r="BD48" s="31" t="str">
        <f t="shared" si="11"/>
        <v/>
      </c>
      <c r="BE48" s="31" t="str">
        <f t="shared" si="12"/>
        <v/>
      </c>
      <c r="BF48" s="31" t="str">
        <f t="shared" si="13"/>
        <v/>
      </c>
      <c r="BG48" s="31" t="str">
        <f t="shared" si="14"/>
        <v>Y</v>
      </c>
      <c r="BH48" s="31" t="str">
        <f t="shared" si="15"/>
        <v/>
      </c>
      <c r="BI48" s="31" t="str">
        <f t="shared" si="16"/>
        <v>Y</v>
      </c>
      <c r="BJ48" s="30" t="str">
        <f t="shared" si="17"/>
        <v/>
      </c>
      <c r="BK48" s="31" t="str">
        <f t="shared" si="18"/>
        <v>Y</v>
      </c>
      <c r="BL48" s="30" t="str">
        <f t="shared" si="19"/>
        <v/>
      </c>
      <c r="BM48" s="31" t="str">
        <f t="shared" si="20"/>
        <v/>
      </c>
      <c r="BN48" s="31" t="str">
        <f t="shared" si="21"/>
        <v/>
      </c>
      <c r="BO48" s="31" t="str">
        <f t="shared" si="22"/>
        <v/>
      </c>
      <c r="BP48" s="31" t="str">
        <f t="shared" si="23"/>
        <v/>
      </c>
      <c r="BQ48" s="31" t="str">
        <f t="shared" si="24"/>
        <v>Y</v>
      </c>
      <c r="BR48" s="31" t="str">
        <f t="shared" si="25"/>
        <v/>
      </c>
      <c r="BS48" s="31" t="str">
        <f t="shared" si="26"/>
        <v/>
      </c>
      <c r="BT48" s="31" t="str">
        <f t="shared" si="27"/>
        <v>Y</v>
      </c>
      <c r="BU48" s="30" t="str">
        <f t="shared" si="28"/>
        <v/>
      </c>
      <c r="BV48" s="39" t="str">
        <f t="shared" si="29"/>
        <v>Y</v>
      </c>
      <c r="BW48" s="3" t="s">
        <v>323</v>
      </c>
    </row>
    <row r="49" spans="1:76" x14ac:dyDescent="0.35">
      <c r="A49" s="13" t="s">
        <v>58</v>
      </c>
      <c r="B49" s="12" t="s">
        <v>12</v>
      </c>
      <c r="C49" s="12"/>
      <c r="D49" s="59"/>
      <c r="E49" s="13"/>
      <c r="F49" s="13" t="s">
        <v>7</v>
      </c>
      <c r="G49" s="13"/>
      <c r="H49" s="13"/>
      <c r="I49" s="13"/>
      <c r="J49" s="13"/>
      <c r="K49" s="13"/>
      <c r="L49" s="13"/>
      <c r="N49" s="13"/>
      <c r="Q49" s="13" t="s">
        <v>7</v>
      </c>
      <c r="R49" s="13"/>
      <c r="S49" s="13"/>
      <c r="V49" s="13"/>
      <c r="W49" s="13"/>
      <c r="X49" s="13"/>
      <c r="Y49" s="13"/>
      <c r="Z49" s="13"/>
      <c r="AA49" s="13"/>
      <c r="AB49" s="13"/>
      <c r="AD49" s="13"/>
      <c r="AE49" s="13"/>
      <c r="AF49" s="13"/>
      <c r="AG49" s="13"/>
      <c r="AH49" s="12"/>
      <c r="AI49" s="13"/>
      <c r="AJ49" s="14"/>
      <c r="AK49" s="13"/>
      <c r="AL49" s="13" t="s">
        <v>7</v>
      </c>
      <c r="AM49" s="12"/>
      <c r="AN49" s="59"/>
      <c r="AO49" s="13"/>
      <c r="AP49" s="13"/>
      <c r="AQ49" s="13"/>
      <c r="AR49" s="13" t="s">
        <v>7</v>
      </c>
      <c r="AS49" s="12" t="s">
        <v>7</v>
      </c>
      <c r="AT49" s="13"/>
      <c r="AU49" s="13"/>
      <c r="AV49" s="13"/>
      <c r="AW49" s="13"/>
      <c r="AX49" s="13"/>
      <c r="AY49" s="13"/>
      <c r="AZ49" s="13"/>
      <c r="BC49" s="31" t="str">
        <f t="shared" si="10"/>
        <v/>
      </c>
      <c r="BD49" s="31" t="str">
        <f t="shared" si="11"/>
        <v/>
      </c>
      <c r="BE49" s="31" t="str">
        <f t="shared" si="12"/>
        <v/>
      </c>
      <c r="BF49" s="31" t="str">
        <f t="shared" si="13"/>
        <v/>
      </c>
      <c r="BG49" s="31" t="str">
        <f t="shared" si="14"/>
        <v/>
      </c>
      <c r="BH49" s="31" t="str">
        <f t="shared" si="15"/>
        <v>Y</v>
      </c>
      <c r="BI49" s="31" t="str">
        <f t="shared" si="16"/>
        <v/>
      </c>
      <c r="BJ49" s="30" t="str">
        <f t="shared" si="17"/>
        <v/>
      </c>
      <c r="BK49" s="31" t="str">
        <f t="shared" si="18"/>
        <v>Y</v>
      </c>
      <c r="BL49" s="30" t="str">
        <f t="shared" si="19"/>
        <v/>
      </c>
      <c r="BM49" s="31" t="str">
        <f t="shared" si="20"/>
        <v/>
      </c>
      <c r="BN49" s="31" t="str">
        <f t="shared" si="21"/>
        <v/>
      </c>
      <c r="BO49" s="31" t="str">
        <f t="shared" si="22"/>
        <v/>
      </c>
      <c r="BP49" s="31" t="str">
        <f t="shared" si="23"/>
        <v/>
      </c>
      <c r="BQ49" s="31" t="str">
        <f t="shared" si="24"/>
        <v/>
      </c>
      <c r="BR49" s="31" t="str">
        <f t="shared" si="25"/>
        <v>Y</v>
      </c>
      <c r="BS49" s="31" t="str">
        <f t="shared" si="26"/>
        <v>Y</v>
      </c>
      <c r="BT49" s="31" t="str">
        <f t="shared" si="27"/>
        <v/>
      </c>
      <c r="BU49" s="30" t="str">
        <f t="shared" si="28"/>
        <v/>
      </c>
      <c r="BV49" s="39" t="str">
        <f t="shared" si="29"/>
        <v>Y</v>
      </c>
      <c r="BW49" s="3" t="s">
        <v>194</v>
      </c>
    </row>
    <row r="50" spans="1:76" x14ac:dyDescent="0.35">
      <c r="A50" s="11" t="s">
        <v>59</v>
      </c>
      <c r="B50" s="3" t="s">
        <v>12</v>
      </c>
      <c r="C50" s="12"/>
      <c r="D50" s="59"/>
      <c r="E50" s="13"/>
      <c r="F50" s="13"/>
      <c r="G50" s="13"/>
      <c r="H50" s="13"/>
      <c r="I50" s="13"/>
      <c r="J50" s="13"/>
      <c r="K50" s="13"/>
      <c r="L50" s="13"/>
      <c r="N50" s="13"/>
      <c r="Q50" s="13"/>
      <c r="R50" s="13"/>
      <c r="S50" s="13"/>
      <c r="T50" s="28" t="s">
        <v>7</v>
      </c>
      <c r="V50" s="13"/>
      <c r="W50" s="13"/>
      <c r="X50" s="13"/>
      <c r="Y50" s="13"/>
      <c r="Z50" s="13"/>
      <c r="AA50" s="13"/>
      <c r="AB50" s="13"/>
      <c r="AD50" s="13"/>
      <c r="AE50" s="13"/>
      <c r="AF50" s="13"/>
      <c r="AG50" s="13"/>
      <c r="AH50" s="12"/>
      <c r="AI50" s="13"/>
      <c r="AJ50" s="14"/>
      <c r="AK50" s="13" t="s">
        <v>7</v>
      </c>
      <c r="AL50" s="13"/>
      <c r="AM50" s="15"/>
      <c r="AN50" s="149"/>
      <c r="AO50" s="14"/>
      <c r="AP50" s="14"/>
      <c r="AQ50" s="14"/>
      <c r="AR50" s="14" t="s">
        <v>7</v>
      </c>
      <c r="AS50" s="15" t="s">
        <v>7</v>
      </c>
      <c r="AT50" s="14"/>
      <c r="AU50" s="14"/>
      <c r="AV50" s="14"/>
      <c r="AW50" s="14"/>
      <c r="AX50" s="14"/>
      <c r="AY50" s="14"/>
      <c r="AZ50" s="14"/>
      <c r="BC50" s="31" t="str">
        <f t="shared" si="10"/>
        <v/>
      </c>
      <c r="BD50" s="31" t="str">
        <f t="shared" si="11"/>
        <v/>
      </c>
      <c r="BE50" s="31" t="str">
        <f t="shared" si="12"/>
        <v/>
      </c>
      <c r="BF50" s="31" t="str">
        <f t="shared" si="13"/>
        <v/>
      </c>
      <c r="BG50" s="31" t="str">
        <f t="shared" si="14"/>
        <v/>
      </c>
      <c r="BH50" s="31" t="str">
        <f t="shared" si="15"/>
        <v/>
      </c>
      <c r="BI50" s="31" t="str">
        <f t="shared" si="16"/>
        <v>Y</v>
      </c>
      <c r="BJ50" s="30" t="str">
        <f t="shared" si="17"/>
        <v/>
      </c>
      <c r="BK50" s="31" t="str">
        <f t="shared" si="18"/>
        <v>Y</v>
      </c>
      <c r="BL50" s="30" t="str">
        <f t="shared" si="19"/>
        <v/>
      </c>
      <c r="BM50" s="31" t="str">
        <f t="shared" si="20"/>
        <v/>
      </c>
      <c r="BN50" s="31" t="str">
        <f t="shared" si="21"/>
        <v/>
      </c>
      <c r="BO50" s="31" t="str">
        <f t="shared" si="22"/>
        <v/>
      </c>
      <c r="BP50" s="31" t="str">
        <f t="shared" si="23"/>
        <v/>
      </c>
      <c r="BQ50" s="31" t="str">
        <f t="shared" si="24"/>
        <v>Y</v>
      </c>
      <c r="BR50" s="31" t="str">
        <f t="shared" si="25"/>
        <v/>
      </c>
      <c r="BS50" s="31" t="str">
        <f t="shared" si="26"/>
        <v/>
      </c>
      <c r="BT50" s="31" t="str">
        <f t="shared" si="27"/>
        <v/>
      </c>
      <c r="BU50" s="30" t="str">
        <f t="shared" si="28"/>
        <v/>
      </c>
      <c r="BV50" s="39" t="str">
        <f t="shared" si="29"/>
        <v>Y</v>
      </c>
      <c r="BW50" s="3" t="s">
        <v>183</v>
      </c>
    </row>
    <row r="51" spans="1:76" x14ac:dyDescent="0.35">
      <c r="A51" s="11" t="s">
        <v>60</v>
      </c>
      <c r="B51" s="3" t="s">
        <v>384</v>
      </c>
      <c r="C51" s="12"/>
      <c r="D51" s="59"/>
      <c r="E51" s="13"/>
      <c r="F51" s="13"/>
      <c r="G51" s="13"/>
      <c r="H51" s="13" t="s">
        <v>7</v>
      </c>
      <c r="I51" s="13"/>
      <c r="J51" s="13"/>
      <c r="K51" s="13"/>
      <c r="L51" s="13"/>
      <c r="N51" s="13"/>
      <c r="Q51" s="13"/>
      <c r="R51" s="13"/>
      <c r="S51" s="13"/>
      <c r="T51" s="28" t="s">
        <v>7</v>
      </c>
      <c r="V51" s="13"/>
      <c r="W51" s="13"/>
      <c r="X51" s="13"/>
      <c r="Y51" s="13"/>
      <c r="Z51" s="13"/>
      <c r="AA51" s="13"/>
      <c r="AB51" s="13"/>
      <c r="AD51" s="13"/>
      <c r="AE51" s="13"/>
      <c r="AF51" s="13"/>
      <c r="AG51" s="13"/>
      <c r="AH51" s="12"/>
      <c r="AI51" s="13"/>
      <c r="AJ51" s="14"/>
      <c r="AK51" s="13" t="s">
        <v>7</v>
      </c>
      <c r="AL51" s="13"/>
      <c r="AM51" s="15"/>
      <c r="AN51" s="149"/>
      <c r="AO51" s="14"/>
      <c r="AP51" s="14"/>
      <c r="AQ51" s="14" t="s">
        <v>7</v>
      </c>
      <c r="AR51" s="14"/>
      <c r="AS51" s="15"/>
      <c r="AT51" s="14"/>
      <c r="AU51" s="14" t="s">
        <v>7</v>
      </c>
      <c r="AV51" s="14"/>
      <c r="AW51" s="14"/>
      <c r="AX51" s="14"/>
      <c r="AY51" s="14"/>
      <c r="AZ51" s="14"/>
      <c r="BC51" s="31" t="str">
        <f t="shared" si="10"/>
        <v/>
      </c>
      <c r="BD51" s="31" t="str">
        <f t="shared" si="11"/>
        <v/>
      </c>
      <c r="BE51" s="31" t="str">
        <f t="shared" si="12"/>
        <v/>
      </c>
      <c r="BF51" s="31" t="str">
        <f t="shared" si="13"/>
        <v/>
      </c>
      <c r="BG51" s="31" t="str">
        <f t="shared" si="14"/>
        <v/>
      </c>
      <c r="BH51" s="31" t="str">
        <f t="shared" si="15"/>
        <v/>
      </c>
      <c r="BI51" s="31" t="str">
        <f t="shared" si="16"/>
        <v>Y</v>
      </c>
      <c r="BJ51" s="30" t="str">
        <f t="shared" si="17"/>
        <v/>
      </c>
      <c r="BK51" s="31" t="str">
        <f t="shared" si="18"/>
        <v>Y</v>
      </c>
      <c r="BL51" s="30" t="str">
        <f t="shared" si="19"/>
        <v/>
      </c>
      <c r="BM51" s="31" t="str">
        <f t="shared" si="20"/>
        <v/>
      </c>
      <c r="BN51" s="31" t="str">
        <f t="shared" si="21"/>
        <v/>
      </c>
      <c r="BO51" s="31" t="str">
        <f t="shared" si="22"/>
        <v/>
      </c>
      <c r="BP51" s="31" t="str">
        <f t="shared" si="23"/>
        <v/>
      </c>
      <c r="BQ51" s="31" t="str">
        <f t="shared" si="24"/>
        <v>Y</v>
      </c>
      <c r="BR51" s="31" t="str">
        <f t="shared" si="25"/>
        <v/>
      </c>
      <c r="BS51" s="31" t="str">
        <f t="shared" si="26"/>
        <v>Y</v>
      </c>
      <c r="BT51" s="31" t="str">
        <f t="shared" si="27"/>
        <v/>
      </c>
      <c r="BU51" s="30" t="str">
        <f t="shared" si="28"/>
        <v/>
      </c>
      <c r="BV51" s="39" t="str">
        <f t="shared" si="29"/>
        <v>Y</v>
      </c>
      <c r="BW51" s="3" t="s">
        <v>195</v>
      </c>
    </row>
    <row r="52" spans="1:76" x14ac:dyDescent="0.35">
      <c r="A52" s="11" t="s">
        <v>257</v>
      </c>
      <c r="B52" s="3" t="s">
        <v>12</v>
      </c>
      <c r="C52" s="12" t="s">
        <v>7</v>
      </c>
      <c r="D52" s="59"/>
      <c r="E52" s="13"/>
      <c r="F52" s="13"/>
      <c r="G52" s="13"/>
      <c r="H52" s="13"/>
      <c r="I52" s="13"/>
      <c r="J52" s="13"/>
      <c r="K52" s="13"/>
      <c r="L52" s="13"/>
      <c r="N52" s="13"/>
      <c r="Q52" s="13"/>
      <c r="R52" s="13"/>
      <c r="S52" s="13"/>
      <c r="V52" s="13"/>
      <c r="W52" s="13"/>
      <c r="X52" s="13"/>
      <c r="Y52" s="13"/>
      <c r="Z52" s="13" t="s">
        <v>7</v>
      </c>
      <c r="AA52" s="13"/>
      <c r="AB52" s="13"/>
      <c r="AD52" s="13"/>
      <c r="AE52" s="13"/>
      <c r="AF52" s="13"/>
      <c r="AG52" s="13"/>
      <c r="AH52" s="12"/>
      <c r="AI52" s="13"/>
      <c r="AJ52" s="14"/>
      <c r="AK52" s="13" t="s">
        <v>7</v>
      </c>
      <c r="AL52" s="13" t="s">
        <v>7</v>
      </c>
      <c r="AM52" s="15"/>
      <c r="AN52" s="149"/>
      <c r="AO52" s="14"/>
      <c r="AP52" s="14"/>
      <c r="AQ52" s="14"/>
      <c r="AR52" s="14" t="s">
        <v>7</v>
      </c>
      <c r="AS52" s="15" t="s">
        <v>7</v>
      </c>
      <c r="AT52" s="14"/>
      <c r="AU52" s="14"/>
      <c r="AV52" s="14"/>
      <c r="AW52" s="14"/>
      <c r="AX52" s="14"/>
      <c r="AY52" s="14"/>
      <c r="AZ52" s="14"/>
      <c r="BC52" s="31" t="str">
        <f t="shared" si="10"/>
        <v>Y</v>
      </c>
      <c r="BD52" s="31" t="str">
        <f t="shared" si="11"/>
        <v/>
      </c>
      <c r="BE52" s="31" t="str">
        <f t="shared" si="12"/>
        <v/>
      </c>
      <c r="BF52" s="31" t="str">
        <f t="shared" si="13"/>
        <v/>
      </c>
      <c r="BG52" s="31" t="str">
        <f t="shared" si="14"/>
        <v>Y</v>
      </c>
      <c r="BH52" s="31" t="str">
        <f t="shared" si="15"/>
        <v/>
      </c>
      <c r="BI52" s="31" t="str">
        <f t="shared" si="16"/>
        <v/>
      </c>
      <c r="BJ52" s="30" t="str">
        <f t="shared" si="17"/>
        <v>Y</v>
      </c>
      <c r="BK52" s="31" t="str">
        <f t="shared" si="18"/>
        <v>Y</v>
      </c>
      <c r="BL52" s="30" t="str">
        <f t="shared" si="19"/>
        <v/>
      </c>
      <c r="BM52" s="31" t="str">
        <f t="shared" si="20"/>
        <v/>
      </c>
      <c r="BN52" s="31" t="str">
        <f t="shared" si="21"/>
        <v>Y</v>
      </c>
      <c r="BO52" s="31" t="str">
        <f t="shared" si="22"/>
        <v>Y</v>
      </c>
      <c r="BP52" s="31" t="str">
        <f t="shared" si="23"/>
        <v/>
      </c>
      <c r="BQ52" s="31" t="str">
        <f t="shared" si="24"/>
        <v/>
      </c>
      <c r="BR52" s="31" t="str">
        <f t="shared" si="25"/>
        <v/>
      </c>
      <c r="BS52" s="31" t="str">
        <f t="shared" si="26"/>
        <v/>
      </c>
      <c r="BT52" s="31" t="str">
        <f t="shared" si="27"/>
        <v/>
      </c>
      <c r="BU52" s="30" t="str">
        <f t="shared" si="28"/>
        <v>Y</v>
      </c>
      <c r="BV52" s="39" t="str">
        <f t="shared" si="29"/>
        <v/>
      </c>
      <c r="BW52" s="3" t="s">
        <v>312</v>
      </c>
      <c r="BX52" s="16"/>
    </row>
    <row r="53" spans="1:76" ht="29" x14ac:dyDescent="0.35">
      <c r="A53" s="11" t="s">
        <v>61</v>
      </c>
      <c r="B53" s="3" t="s">
        <v>62</v>
      </c>
      <c r="C53" s="12"/>
      <c r="D53" s="59"/>
      <c r="E53" s="13"/>
      <c r="F53" s="13"/>
      <c r="G53" s="13"/>
      <c r="H53" s="13"/>
      <c r="I53" s="13"/>
      <c r="J53" s="13"/>
      <c r="K53" s="13"/>
      <c r="L53" s="13"/>
      <c r="N53" s="13"/>
      <c r="Q53" s="13"/>
      <c r="R53" s="13"/>
      <c r="S53" s="13"/>
      <c r="V53" s="13"/>
      <c r="W53" s="13" t="s">
        <v>7</v>
      </c>
      <c r="X53" s="13"/>
      <c r="Y53" s="13"/>
      <c r="Z53" s="13"/>
      <c r="AA53" s="13"/>
      <c r="AB53" s="13"/>
      <c r="AD53" s="13" t="s">
        <v>7</v>
      </c>
      <c r="AE53" s="13"/>
      <c r="AF53" s="13"/>
      <c r="AG53" s="13"/>
      <c r="AH53" s="12"/>
      <c r="AI53" s="13"/>
      <c r="AJ53" s="14"/>
      <c r="AK53" s="13"/>
      <c r="AL53" s="13" t="s">
        <v>7</v>
      </c>
      <c r="AM53" s="15"/>
      <c r="AN53" s="149"/>
      <c r="AO53" s="14"/>
      <c r="AP53" s="14"/>
      <c r="AQ53" s="14" t="s">
        <v>7</v>
      </c>
      <c r="AR53" s="14"/>
      <c r="AS53" s="15"/>
      <c r="AT53" s="14"/>
      <c r="AU53" s="14"/>
      <c r="AV53" s="14"/>
      <c r="AW53" s="14" t="s">
        <v>7</v>
      </c>
      <c r="AX53" s="14"/>
      <c r="AY53" s="14"/>
      <c r="AZ53" s="14"/>
      <c r="BC53" s="31" t="str">
        <f t="shared" si="10"/>
        <v>Y</v>
      </c>
      <c r="BD53" s="31" t="str">
        <f t="shared" si="11"/>
        <v>Y</v>
      </c>
      <c r="BE53" s="31" t="str">
        <f t="shared" si="12"/>
        <v/>
      </c>
      <c r="BF53" s="31" t="str">
        <f t="shared" si="13"/>
        <v/>
      </c>
      <c r="BG53" s="31" t="str">
        <f t="shared" si="14"/>
        <v/>
      </c>
      <c r="BH53" s="31" t="str">
        <f t="shared" si="15"/>
        <v/>
      </c>
      <c r="BI53" s="31" t="str">
        <f t="shared" si="16"/>
        <v/>
      </c>
      <c r="BJ53" s="30" t="str">
        <f t="shared" si="17"/>
        <v>Y</v>
      </c>
      <c r="BK53" s="31" t="str">
        <f t="shared" si="18"/>
        <v/>
      </c>
      <c r="BL53" s="30" t="str">
        <f t="shared" si="19"/>
        <v/>
      </c>
      <c r="BM53" s="31" t="str">
        <f t="shared" si="20"/>
        <v>Y</v>
      </c>
      <c r="BN53" s="31" t="str">
        <f t="shared" si="21"/>
        <v/>
      </c>
      <c r="BO53" s="31" t="str">
        <f t="shared" si="22"/>
        <v/>
      </c>
      <c r="BP53" s="31" t="str">
        <f t="shared" si="23"/>
        <v>Y</v>
      </c>
      <c r="BQ53" s="31" t="str">
        <f t="shared" si="24"/>
        <v/>
      </c>
      <c r="BR53" s="31" t="str">
        <f t="shared" si="25"/>
        <v/>
      </c>
      <c r="BS53" s="31" t="str">
        <f t="shared" si="26"/>
        <v/>
      </c>
      <c r="BT53" s="31" t="str">
        <f t="shared" si="27"/>
        <v/>
      </c>
      <c r="BU53" s="30" t="str">
        <f t="shared" si="28"/>
        <v>Y</v>
      </c>
      <c r="BV53" s="39" t="str">
        <f t="shared" si="29"/>
        <v>Y</v>
      </c>
      <c r="BW53" s="3" t="s">
        <v>241</v>
      </c>
    </row>
    <row r="54" spans="1:76" x14ac:dyDescent="0.35">
      <c r="A54" s="11" t="s">
        <v>63</v>
      </c>
      <c r="B54" s="3" t="s">
        <v>28</v>
      </c>
      <c r="C54" s="12" t="s">
        <v>7</v>
      </c>
      <c r="D54" s="59"/>
      <c r="E54" s="13"/>
      <c r="F54" s="13"/>
      <c r="G54" s="13"/>
      <c r="H54" s="13"/>
      <c r="I54" s="13"/>
      <c r="J54" s="13"/>
      <c r="K54" s="13"/>
      <c r="L54" s="13"/>
      <c r="N54" s="13"/>
      <c r="Q54" s="13"/>
      <c r="R54" s="13"/>
      <c r="S54" s="13"/>
      <c r="V54" s="13"/>
      <c r="W54" s="13"/>
      <c r="X54" s="13"/>
      <c r="Y54" s="13"/>
      <c r="Z54" s="13"/>
      <c r="AA54" s="13"/>
      <c r="AB54" s="13"/>
      <c r="AD54" s="13"/>
      <c r="AE54" s="13"/>
      <c r="AF54" s="13"/>
      <c r="AG54" s="13"/>
      <c r="AH54" s="12"/>
      <c r="AI54" s="13"/>
      <c r="AJ54" s="14"/>
      <c r="AK54" s="13" t="s">
        <v>7</v>
      </c>
      <c r="AL54" s="13"/>
      <c r="AM54" s="15"/>
      <c r="AN54" s="149"/>
      <c r="AO54" s="14"/>
      <c r="AP54" s="14"/>
      <c r="AQ54" s="14" t="s">
        <v>7</v>
      </c>
      <c r="AR54" s="14"/>
      <c r="AS54" s="15"/>
      <c r="AT54" s="14"/>
      <c r="AU54" s="14"/>
      <c r="AV54" s="14"/>
      <c r="AW54" s="14"/>
      <c r="AX54" s="14"/>
      <c r="AY54" s="14"/>
      <c r="AZ54" s="14" t="s">
        <v>7</v>
      </c>
      <c r="BC54" s="31" t="str">
        <f t="shared" si="10"/>
        <v/>
      </c>
      <c r="BD54" s="31" t="str">
        <f t="shared" si="11"/>
        <v/>
      </c>
      <c r="BE54" s="31" t="str">
        <f t="shared" si="12"/>
        <v/>
      </c>
      <c r="BF54" s="31" t="str">
        <f t="shared" si="13"/>
        <v/>
      </c>
      <c r="BG54" s="31" t="str">
        <f t="shared" si="14"/>
        <v>Y</v>
      </c>
      <c r="BH54" s="31" t="str">
        <f t="shared" si="15"/>
        <v/>
      </c>
      <c r="BI54" s="31" t="str">
        <f t="shared" si="16"/>
        <v/>
      </c>
      <c r="BJ54" s="30" t="str">
        <f t="shared" si="17"/>
        <v/>
      </c>
      <c r="BK54" s="31" t="str">
        <f t="shared" si="18"/>
        <v>Y</v>
      </c>
      <c r="BL54" s="30" t="str">
        <f t="shared" si="19"/>
        <v/>
      </c>
      <c r="BM54" s="31" t="str">
        <f t="shared" si="20"/>
        <v/>
      </c>
      <c r="BN54" s="31" t="str">
        <f t="shared" si="21"/>
        <v/>
      </c>
      <c r="BO54" s="31" t="str">
        <f t="shared" si="22"/>
        <v>Y</v>
      </c>
      <c r="BP54" s="31" t="str">
        <f t="shared" si="23"/>
        <v/>
      </c>
      <c r="BQ54" s="31" t="str">
        <f t="shared" si="24"/>
        <v/>
      </c>
      <c r="BR54" s="31" t="str">
        <f t="shared" si="25"/>
        <v/>
      </c>
      <c r="BS54" s="31" t="str">
        <f t="shared" si="26"/>
        <v/>
      </c>
      <c r="BT54" s="31" t="str">
        <f t="shared" si="27"/>
        <v/>
      </c>
      <c r="BU54" s="30" t="str">
        <f t="shared" si="28"/>
        <v>Y</v>
      </c>
      <c r="BV54" s="39" t="str">
        <f t="shared" si="29"/>
        <v/>
      </c>
      <c r="BW54" s="3" t="s">
        <v>196</v>
      </c>
    </row>
    <row r="55" spans="1:76" x14ac:dyDescent="0.35">
      <c r="A55" s="11" t="s">
        <v>440</v>
      </c>
      <c r="B55" s="3" t="s">
        <v>14</v>
      </c>
      <c r="C55" s="12"/>
      <c r="D55" s="59"/>
      <c r="E55" s="13"/>
      <c r="F55" s="13"/>
      <c r="G55" s="13"/>
      <c r="H55" s="13"/>
      <c r="I55" s="13"/>
      <c r="J55" s="13"/>
      <c r="K55" s="13"/>
      <c r="L55" s="13"/>
      <c r="N55" s="13"/>
      <c r="Q55" s="13"/>
      <c r="R55" s="13"/>
      <c r="S55" s="13"/>
      <c r="V55" s="13"/>
      <c r="W55" s="13"/>
      <c r="X55" s="13"/>
      <c r="Y55" s="13"/>
      <c r="Z55" s="13"/>
      <c r="AA55" s="13"/>
      <c r="AB55" s="13"/>
      <c r="AD55" s="13"/>
      <c r="AE55" s="13"/>
      <c r="AF55" s="13"/>
      <c r="AG55" s="13" t="s">
        <v>7</v>
      </c>
      <c r="AH55" s="12"/>
      <c r="AI55" s="13" t="s">
        <v>7</v>
      </c>
      <c r="AJ55" s="14"/>
      <c r="AK55" s="13"/>
      <c r="AL55" s="13"/>
      <c r="AM55" s="15" t="s">
        <v>7</v>
      </c>
      <c r="AN55" s="149"/>
      <c r="AO55" s="14"/>
      <c r="AP55" s="14"/>
      <c r="AQ55" s="14"/>
      <c r="AR55" s="14"/>
      <c r="AS55" s="15"/>
      <c r="AT55" s="14"/>
      <c r="AU55" s="14"/>
      <c r="AV55" s="14"/>
      <c r="AW55" s="14"/>
      <c r="AX55" s="14"/>
      <c r="AY55" s="14" t="s">
        <v>7</v>
      </c>
      <c r="AZ55" s="14"/>
      <c r="BC55" s="31" t="str">
        <f t="shared" si="10"/>
        <v/>
      </c>
      <c r="BD55" s="31" t="str">
        <f t="shared" si="11"/>
        <v/>
      </c>
      <c r="BE55" s="31" t="str">
        <f t="shared" si="12"/>
        <v/>
      </c>
      <c r="BF55" s="31" t="str">
        <f t="shared" si="13"/>
        <v/>
      </c>
      <c r="BG55" s="31" t="str">
        <f t="shared" si="14"/>
        <v>Y</v>
      </c>
      <c r="BH55" s="31" t="str">
        <f t="shared" si="15"/>
        <v/>
      </c>
      <c r="BI55" s="31" t="str">
        <f t="shared" si="16"/>
        <v/>
      </c>
      <c r="BJ55" s="30" t="str">
        <f t="shared" si="17"/>
        <v/>
      </c>
      <c r="BK55" s="31" t="str">
        <f t="shared" si="18"/>
        <v>Y</v>
      </c>
      <c r="BL55" s="30" t="str">
        <f t="shared" si="19"/>
        <v/>
      </c>
      <c r="BM55" s="31" t="str">
        <f t="shared" si="20"/>
        <v/>
      </c>
      <c r="BN55" s="31" t="str">
        <f t="shared" si="21"/>
        <v/>
      </c>
      <c r="BO55" s="31" t="str">
        <f t="shared" si="22"/>
        <v>Y</v>
      </c>
      <c r="BP55" s="31" t="str">
        <f t="shared" si="23"/>
        <v/>
      </c>
      <c r="BQ55" s="31" t="str">
        <f t="shared" si="24"/>
        <v/>
      </c>
      <c r="BR55" s="31" t="str">
        <f t="shared" si="25"/>
        <v/>
      </c>
      <c r="BS55" s="31" t="str">
        <f t="shared" si="26"/>
        <v/>
      </c>
      <c r="BT55" s="31" t="str">
        <f t="shared" si="27"/>
        <v/>
      </c>
      <c r="BU55" s="30" t="str">
        <f t="shared" si="28"/>
        <v>Y</v>
      </c>
      <c r="BV55" s="39" t="str">
        <f t="shared" si="29"/>
        <v/>
      </c>
      <c r="BW55" s="3" t="s">
        <v>435</v>
      </c>
    </row>
    <row r="56" spans="1:76" x14ac:dyDescent="0.35">
      <c r="A56" s="11" t="s">
        <v>64</v>
      </c>
      <c r="B56" s="3" t="s">
        <v>12</v>
      </c>
      <c r="C56" s="12"/>
      <c r="D56" s="59"/>
      <c r="E56" s="13"/>
      <c r="F56" s="13"/>
      <c r="G56" s="13"/>
      <c r="H56" s="13" t="s">
        <v>7</v>
      </c>
      <c r="I56" s="13"/>
      <c r="J56" s="13"/>
      <c r="K56" s="13"/>
      <c r="L56" s="13"/>
      <c r="N56" s="13"/>
      <c r="Q56" s="13"/>
      <c r="R56" s="13"/>
      <c r="S56" s="13" t="s">
        <v>7</v>
      </c>
      <c r="T56" s="28" t="s">
        <v>7</v>
      </c>
      <c r="V56" s="13"/>
      <c r="W56" s="13"/>
      <c r="X56" s="13"/>
      <c r="Y56" s="13"/>
      <c r="Z56" s="13"/>
      <c r="AA56" s="13"/>
      <c r="AB56" s="13"/>
      <c r="AD56" s="13"/>
      <c r="AE56" s="13"/>
      <c r="AF56" s="13"/>
      <c r="AG56" s="13"/>
      <c r="AH56" s="12" t="s">
        <v>7</v>
      </c>
      <c r="AI56" s="13"/>
      <c r="AJ56" s="14"/>
      <c r="AK56" s="13" t="s">
        <v>7</v>
      </c>
      <c r="AL56" s="13"/>
      <c r="AM56" s="15"/>
      <c r="AN56" s="149"/>
      <c r="AO56" s="14"/>
      <c r="AP56" s="14"/>
      <c r="AQ56" s="14"/>
      <c r="AR56" s="14" t="s">
        <v>7</v>
      </c>
      <c r="AS56" s="15" t="s">
        <v>7</v>
      </c>
      <c r="AT56" s="14"/>
      <c r="AU56" s="14"/>
      <c r="AV56" s="14"/>
      <c r="AW56" s="14"/>
      <c r="AX56" s="14"/>
      <c r="AY56" s="14"/>
      <c r="AZ56" s="14"/>
      <c r="BC56" s="31" t="str">
        <f t="shared" si="10"/>
        <v/>
      </c>
      <c r="BD56" s="31" t="str">
        <f t="shared" si="11"/>
        <v/>
      </c>
      <c r="BE56" s="31" t="str">
        <f t="shared" si="12"/>
        <v/>
      </c>
      <c r="BF56" s="31" t="str">
        <f t="shared" si="13"/>
        <v/>
      </c>
      <c r="BG56" s="31" t="str">
        <f t="shared" si="14"/>
        <v/>
      </c>
      <c r="BH56" s="31" t="str">
        <f t="shared" si="15"/>
        <v/>
      </c>
      <c r="BI56" s="31" t="str">
        <f t="shared" si="16"/>
        <v>Y</v>
      </c>
      <c r="BJ56" s="30" t="str">
        <f t="shared" si="17"/>
        <v/>
      </c>
      <c r="BK56" s="31" t="str">
        <f t="shared" si="18"/>
        <v>Y</v>
      </c>
      <c r="BL56" s="30" t="str">
        <f t="shared" si="19"/>
        <v/>
      </c>
      <c r="BM56" s="31" t="str">
        <f t="shared" si="20"/>
        <v/>
      </c>
      <c r="BN56" s="31" t="str">
        <f t="shared" si="21"/>
        <v/>
      </c>
      <c r="BO56" s="31" t="str">
        <f t="shared" si="22"/>
        <v/>
      </c>
      <c r="BP56" s="31" t="str">
        <f t="shared" si="23"/>
        <v/>
      </c>
      <c r="BQ56" s="31" t="str">
        <f t="shared" si="24"/>
        <v>Y</v>
      </c>
      <c r="BR56" s="31" t="str">
        <f t="shared" si="25"/>
        <v/>
      </c>
      <c r="BS56" s="31" t="str">
        <f t="shared" si="26"/>
        <v>Y</v>
      </c>
      <c r="BT56" s="31" t="str">
        <f t="shared" si="27"/>
        <v/>
      </c>
      <c r="BU56" s="30" t="str">
        <f t="shared" si="28"/>
        <v/>
      </c>
      <c r="BV56" s="39" t="str">
        <f t="shared" si="29"/>
        <v>Y</v>
      </c>
      <c r="BW56" s="3" t="s">
        <v>441</v>
      </c>
    </row>
    <row r="57" spans="1:76" x14ac:dyDescent="0.35">
      <c r="A57" s="11" t="s">
        <v>262</v>
      </c>
      <c r="B57" s="3" t="s">
        <v>46</v>
      </c>
      <c r="C57" s="12" t="s">
        <v>7</v>
      </c>
      <c r="D57" s="59"/>
      <c r="E57" s="13"/>
      <c r="F57" s="13"/>
      <c r="G57" s="13"/>
      <c r="H57" s="13"/>
      <c r="I57" s="13"/>
      <c r="J57" s="13"/>
      <c r="K57" s="13"/>
      <c r="L57" s="13"/>
      <c r="N57" s="13"/>
      <c r="Q57" s="13"/>
      <c r="R57" s="13"/>
      <c r="S57" s="13"/>
      <c r="V57" s="13"/>
      <c r="W57" s="13"/>
      <c r="X57" s="13"/>
      <c r="Y57" s="13"/>
      <c r="Z57" s="13"/>
      <c r="AA57" s="13"/>
      <c r="AB57" s="13"/>
      <c r="AD57" s="13"/>
      <c r="AE57" s="13"/>
      <c r="AF57" s="13"/>
      <c r="AG57" s="13"/>
      <c r="AH57" s="12"/>
      <c r="AI57" s="13"/>
      <c r="AJ57" s="14"/>
      <c r="AK57" s="13" t="s">
        <v>7</v>
      </c>
      <c r="AL57" s="13"/>
      <c r="AM57" s="15"/>
      <c r="AN57" s="149"/>
      <c r="AO57" s="14"/>
      <c r="AP57" s="14"/>
      <c r="AQ57" s="14" t="s">
        <v>7</v>
      </c>
      <c r="AR57" s="14"/>
      <c r="AS57" s="15"/>
      <c r="AT57" s="14"/>
      <c r="AU57" s="14"/>
      <c r="AV57" s="14"/>
      <c r="AW57" s="14"/>
      <c r="AX57" s="14"/>
      <c r="AY57" s="14"/>
      <c r="AZ57" s="14" t="s">
        <v>7</v>
      </c>
      <c r="BC57" s="31" t="str">
        <f t="shared" si="10"/>
        <v/>
      </c>
      <c r="BD57" s="31" t="str">
        <f t="shared" si="11"/>
        <v/>
      </c>
      <c r="BE57" s="31" t="str">
        <f t="shared" si="12"/>
        <v/>
      </c>
      <c r="BF57" s="31" t="str">
        <f t="shared" si="13"/>
        <v/>
      </c>
      <c r="BG57" s="31" t="str">
        <f t="shared" si="14"/>
        <v>Y</v>
      </c>
      <c r="BH57" s="31" t="str">
        <f t="shared" si="15"/>
        <v/>
      </c>
      <c r="BI57" s="31" t="str">
        <f t="shared" si="16"/>
        <v/>
      </c>
      <c r="BJ57" s="30" t="str">
        <f t="shared" si="17"/>
        <v/>
      </c>
      <c r="BK57" s="31" t="str">
        <f t="shared" si="18"/>
        <v>Y</v>
      </c>
      <c r="BL57" s="30" t="str">
        <f t="shared" si="19"/>
        <v/>
      </c>
      <c r="BM57" s="31" t="str">
        <f t="shared" si="20"/>
        <v/>
      </c>
      <c r="BN57" s="31" t="str">
        <f t="shared" si="21"/>
        <v/>
      </c>
      <c r="BO57" s="31" t="str">
        <f t="shared" si="22"/>
        <v>Y</v>
      </c>
      <c r="BP57" s="31" t="str">
        <f t="shared" si="23"/>
        <v/>
      </c>
      <c r="BQ57" s="31" t="str">
        <f t="shared" si="24"/>
        <v/>
      </c>
      <c r="BR57" s="31" t="str">
        <f t="shared" si="25"/>
        <v/>
      </c>
      <c r="BS57" s="31" t="str">
        <f t="shared" si="26"/>
        <v/>
      </c>
      <c r="BT57" s="31" t="str">
        <f t="shared" si="27"/>
        <v/>
      </c>
      <c r="BU57" s="30" t="str">
        <f t="shared" si="28"/>
        <v>Y</v>
      </c>
      <c r="BV57" s="39" t="str">
        <f t="shared" si="29"/>
        <v/>
      </c>
      <c r="BW57" s="3" t="s">
        <v>263</v>
      </c>
    </row>
    <row r="58" spans="1:76" ht="29" x14ac:dyDescent="0.35">
      <c r="A58" s="11" t="s">
        <v>65</v>
      </c>
      <c r="B58" s="3" t="s">
        <v>30</v>
      </c>
      <c r="C58" s="12"/>
      <c r="D58" s="59"/>
      <c r="E58" s="13"/>
      <c r="F58" s="13"/>
      <c r="G58" s="13"/>
      <c r="H58" s="13"/>
      <c r="I58" s="13"/>
      <c r="J58" s="13"/>
      <c r="K58" s="13"/>
      <c r="L58" s="13"/>
      <c r="N58" s="13" t="s">
        <v>7</v>
      </c>
      <c r="P58" s="13" t="s">
        <v>7</v>
      </c>
      <c r="Q58" s="13"/>
      <c r="R58" s="13"/>
      <c r="S58" s="13"/>
      <c r="V58" s="13"/>
      <c r="W58" s="13"/>
      <c r="X58" s="13"/>
      <c r="Y58" s="13"/>
      <c r="Z58" s="13"/>
      <c r="AA58" s="13"/>
      <c r="AB58" s="13"/>
      <c r="AD58" s="13"/>
      <c r="AE58" s="13"/>
      <c r="AF58" s="13"/>
      <c r="AG58" s="13"/>
      <c r="AH58" s="12"/>
      <c r="AI58" s="13" t="s">
        <v>7</v>
      </c>
      <c r="AJ58" s="14" t="s">
        <v>7</v>
      </c>
      <c r="AK58" s="13"/>
      <c r="AL58" s="13"/>
      <c r="AM58" s="15"/>
      <c r="AN58" s="149"/>
      <c r="AO58" s="14"/>
      <c r="AP58" s="14"/>
      <c r="AQ58" s="14" t="s">
        <v>7</v>
      </c>
      <c r="AR58" s="14"/>
      <c r="AS58" s="15"/>
      <c r="AT58" s="14"/>
      <c r="AU58" s="14"/>
      <c r="AV58" s="14" t="s">
        <v>7</v>
      </c>
      <c r="AW58" s="14"/>
      <c r="AX58" s="14"/>
      <c r="AY58" s="14"/>
      <c r="AZ58" s="14"/>
      <c r="BC58" s="31" t="str">
        <f t="shared" si="10"/>
        <v>Y</v>
      </c>
      <c r="BD58" s="31" t="str">
        <f t="shared" si="11"/>
        <v/>
      </c>
      <c r="BE58" s="31" t="str">
        <f t="shared" si="12"/>
        <v/>
      </c>
      <c r="BF58" s="31" t="str">
        <f t="shared" si="13"/>
        <v/>
      </c>
      <c r="BG58" s="31" t="str">
        <f t="shared" si="14"/>
        <v/>
      </c>
      <c r="BH58" s="31" t="str">
        <f t="shared" si="15"/>
        <v/>
      </c>
      <c r="BI58" s="31" t="str">
        <f t="shared" si="16"/>
        <v>Y</v>
      </c>
      <c r="BJ58" s="30" t="str">
        <f t="shared" si="17"/>
        <v>Y</v>
      </c>
      <c r="BK58" s="31" t="str">
        <f t="shared" si="18"/>
        <v>Y</v>
      </c>
      <c r="BL58" s="30" t="str">
        <f t="shared" si="19"/>
        <v>Y</v>
      </c>
      <c r="BM58" s="31" t="str">
        <f t="shared" si="20"/>
        <v/>
      </c>
      <c r="BN58" s="31" t="str">
        <f t="shared" si="21"/>
        <v/>
      </c>
      <c r="BO58" s="31" t="str">
        <f t="shared" si="22"/>
        <v/>
      </c>
      <c r="BP58" s="31" t="str">
        <f t="shared" si="23"/>
        <v/>
      </c>
      <c r="BQ58" s="31" t="str">
        <f t="shared" si="24"/>
        <v>Y</v>
      </c>
      <c r="BR58" s="31" t="str">
        <f t="shared" si="25"/>
        <v/>
      </c>
      <c r="BS58" s="31" t="str">
        <f t="shared" si="26"/>
        <v/>
      </c>
      <c r="BT58" s="31" t="str">
        <f t="shared" si="27"/>
        <v/>
      </c>
      <c r="BU58" s="30" t="str">
        <f t="shared" si="28"/>
        <v>Y</v>
      </c>
      <c r="BV58" s="39" t="str">
        <f t="shared" si="29"/>
        <v>Y</v>
      </c>
      <c r="BW58" s="3" t="s">
        <v>197</v>
      </c>
    </row>
    <row r="59" spans="1:76" ht="29" x14ac:dyDescent="0.35">
      <c r="A59" s="11" t="s">
        <v>66</v>
      </c>
      <c r="B59" s="3" t="s">
        <v>30</v>
      </c>
      <c r="C59" s="12"/>
      <c r="D59" s="59"/>
      <c r="E59" s="13"/>
      <c r="F59" s="13"/>
      <c r="G59" s="13"/>
      <c r="H59" s="13"/>
      <c r="I59" s="13"/>
      <c r="J59" s="13"/>
      <c r="K59" s="13"/>
      <c r="L59" s="13"/>
      <c r="N59" s="13"/>
      <c r="P59" s="13" t="s">
        <v>7</v>
      </c>
      <c r="Q59" s="13"/>
      <c r="R59" s="13"/>
      <c r="S59" s="13"/>
      <c r="V59" s="13"/>
      <c r="W59" s="13"/>
      <c r="X59" s="13"/>
      <c r="Y59" s="13"/>
      <c r="Z59" s="13"/>
      <c r="AA59" s="13"/>
      <c r="AB59" s="13"/>
      <c r="AD59" s="13"/>
      <c r="AE59" s="13"/>
      <c r="AF59" s="13"/>
      <c r="AG59" s="13"/>
      <c r="AH59" s="12"/>
      <c r="AI59" s="13"/>
      <c r="AJ59" s="14" t="s">
        <v>7</v>
      </c>
      <c r="AK59" s="13"/>
      <c r="AL59" s="13"/>
      <c r="AM59" s="15"/>
      <c r="AN59" s="149"/>
      <c r="AO59" s="14"/>
      <c r="AP59" s="14"/>
      <c r="AQ59" s="14" t="s">
        <v>7</v>
      </c>
      <c r="AR59" s="14"/>
      <c r="AS59" s="15"/>
      <c r="AT59" s="14"/>
      <c r="AU59" s="14"/>
      <c r="AV59" s="14" t="s">
        <v>7</v>
      </c>
      <c r="AW59" s="14"/>
      <c r="AX59" s="14"/>
      <c r="AY59" s="14"/>
      <c r="AZ59" s="14"/>
      <c r="BC59" s="31" t="str">
        <f t="shared" si="10"/>
        <v>Y</v>
      </c>
      <c r="BD59" s="31" t="str">
        <f t="shared" si="11"/>
        <v/>
      </c>
      <c r="BE59" s="31" t="str">
        <f t="shared" si="12"/>
        <v/>
      </c>
      <c r="BF59" s="31" t="str">
        <f t="shared" si="13"/>
        <v/>
      </c>
      <c r="BG59" s="31" t="str">
        <f t="shared" si="14"/>
        <v/>
      </c>
      <c r="BH59" s="31" t="str">
        <f t="shared" si="15"/>
        <v/>
      </c>
      <c r="BI59" s="31" t="str">
        <f t="shared" si="16"/>
        <v/>
      </c>
      <c r="BJ59" s="30" t="str">
        <f t="shared" si="17"/>
        <v>Y</v>
      </c>
      <c r="BK59" s="31" t="str">
        <f t="shared" si="18"/>
        <v/>
      </c>
      <c r="BL59" s="30" t="str">
        <f t="shared" si="19"/>
        <v>Y</v>
      </c>
      <c r="BM59" s="31" t="str">
        <f t="shared" si="20"/>
        <v/>
      </c>
      <c r="BN59" s="31" t="str">
        <f t="shared" si="21"/>
        <v/>
      </c>
      <c r="BO59" s="31" t="str">
        <f t="shared" si="22"/>
        <v/>
      </c>
      <c r="BP59" s="31" t="str">
        <f t="shared" si="23"/>
        <v/>
      </c>
      <c r="BQ59" s="31" t="str">
        <f t="shared" si="24"/>
        <v/>
      </c>
      <c r="BR59" s="31" t="str">
        <f t="shared" si="25"/>
        <v/>
      </c>
      <c r="BS59" s="31" t="str">
        <f t="shared" si="26"/>
        <v/>
      </c>
      <c r="BT59" s="31" t="str">
        <f t="shared" si="27"/>
        <v/>
      </c>
      <c r="BU59" s="30" t="str">
        <f t="shared" si="28"/>
        <v>Y</v>
      </c>
      <c r="BV59" s="39" t="str">
        <f t="shared" si="29"/>
        <v/>
      </c>
      <c r="BW59" s="3" t="s">
        <v>198</v>
      </c>
    </row>
    <row r="60" spans="1:76" x14ac:dyDescent="0.35">
      <c r="A60" s="11" t="s">
        <v>67</v>
      </c>
      <c r="B60" s="3" t="s">
        <v>14</v>
      </c>
      <c r="C60" s="12"/>
      <c r="D60" s="59"/>
      <c r="E60" s="13"/>
      <c r="F60" s="13"/>
      <c r="G60" s="13"/>
      <c r="H60" s="13" t="s">
        <v>7</v>
      </c>
      <c r="I60" s="13"/>
      <c r="J60" s="13"/>
      <c r="K60" s="13"/>
      <c r="L60" s="13"/>
      <c r="N60" s="13"/>
      <c r="Q60" s="13"/>
      <c r="R60" s="13"/>
      <c r="S60" s="13"/>
      <c r="V60" s="13"/>
      <c r="W60" s="13"/>
      <c r="X60" s="13"/>
      <c r="Y60" s="13"/>
      <c r="Z60" s="13"/>
      <c r="AA60" s="13"/>
      <c r="AB60" s="13"/>
      <c r="AD60" s="13"/>
      <c r="AE60" s="13"/>
      <c r="AF60" s="13"/>
      <c r="AG60" s="13"/>
      <c r="AH60" s="12"/>
      <c r="AI60" s="13"/>
      <c r="AJ60" s="14"/>
      <c r="AK60" s="13" t="s">
        <v>7</v>
      </c>
      <c r="AL60" s="13"/>
      <c r="AM60" s="15"/>
      <c r="AN60" s="149"/>
      <c r="AO60" s="14"/>
      <c r="AP60" s="14"/>
      <c r="AQ60" s="14" t="s">
        <v>7</v>
      </c>
      <c r="AR60" s="14"/>
      <c r="AS60" s="15"/>
      <c r="AT60" s="14"/>
      <c r="AU60" s="14"/>
      <c r="AV60" s="14"/>
      <c r="AW60" s="14"/>
      <c r="AX60" s="14"/>
      <c r="AY60" s="14" t="s">
        <v>7</v>
      </c>
      <c r="AZ60" s="14"/>
      <c r="BC60" s="31" t="str">
        <f t="shared" si="10"/>
        <v/>
      </c>
      <c r="BD60" s="31" t="str">
        <f t="shared" si="11"/>
        <v/>
      </c>
      <c r="BE60" s="31" t="str">
        <f t="shared" si="12"/>
        <v/>
      </c>
      <c r="BF60" s="31" t="str">
        <f t="shared" si="13"/>
        <v/>
      </c>
      <c r="BG60" s="31" t="str">
        <f t="shared" si="14"/>
        <v/>
      </c>
      <c r="BH60" s="31" t="str">
        <f t="shared" si="15"/>
        <v/>
      </c>
      <c r="BI60" s="31" t="str">
        <f t="shared" si="16"/>
        <v>Y</v>
      </c>
      <c r="BJ60" s="30" t="str">
        <f t="shared" si="17"/>
        <v/>
      </c>
      <c r="BK60" s="31" t="str">
        <f t="shared" si="18"/>
        <v>Y</v>
      </c>
      <c r="BL60" s="30" t="str">
        <f t="shared" si="19"/>
        <v/>
      </c>
      <c r="BM60" s="31" t="str">
        <f t="shared" si="20"/>
        <v/>
      </c>
      <c r="BN60" s="31" t="str">
        <f t="shared" si="21"/>
        <v/>
      </c>
      <c r="BO60" s="31" t="str">
        <f t="shared" si="22"/>
        <v/>
      </c>
      <c r="BP60" s="31" t="str">
        <f t="shared" si="23"/>
        <v/>
      </c>
      <c r="BQ60" s="31" t="str">
        <f t="shared" si="24"/>
        <v/>
      </c>
      <c r="BR60" s="31" t="str">
        <f t="shared" si="25"/>
        <v/>
      </c>
      <c r="BS60" s="31" t="str">
        <f t="shared" si="26"/>
        <v>Y</v>
      </c>
      <c r="BT60" s="31" t="str">
        <f t="shared" si="27"/>
        <v/>
      </c>
      <c r="BU60" s="30" t="str">
        <f t="shared" si="28"/>
        <v/>
      </c>
      <c r="BV60" s="39" t="str">
        <f t="shared" si="29"/>
        <v>Y</v>
      </c>
      <c r="BW60" s="3" t="s">
        <v>199</v>
      </c>
    </row>
    <row r="61" spans="1:76" x14ac:dyDescent="0.35">
      <c r="A61" s="11" t="s">
        <v>68</v>
      </c>
      <c r="B61" s="3" t="s">
        <v>14</v>
      </c>
      <c r="C61" s="12"/>
      <c r="D61" s="59"/>
      <c r="E61" s="13"/>
      <c r="F61" s="11"/>
      <c r="G61" s="13"/>
      <c r="H61" s="13"/>
      <c r="I61" s="13"/>
      <c r="J61" s="13"/>
      <c r="K61" s="13"/>
      <c r="L61" s="13"/>
      <c r="N61" s="13"/>
      <c r="Q61" s="13" t="s">
        <v>7</v>
      </c>
      <c r="R61" s="13"/>
      <c r="S61" s="13"/>
      <c r="V61" s="13" t="s">
        <v>7</v>
      </c>
      <c r="W61" s="13"/>
      <c r="X61" s="13"/>
      <c r="Y61" s="13"/>
      <c r="Z61" s="13"/>
      <c r="AA61" s="13"/>
      <c r="AB61" s="13"/>
      <c r="AD61" s="13" t="s">
        <v>7</v>
      </c>
      <c r="AE61" s="13"/>
      <c r="AF61" s="13"/>
      <c r="AG61" s="13"/>
      <c r="AH61" s="12"/>
      <c r="AI61" s="13"/>
      <c r="AJ61" s="14"/>
      <c r="AK61" s="13"/>
      <c r="AL61" s="13" t="s">
        <v>7</v>
      </c>
      <c r="AM61" s="15"/>
      <c r="AN61" s="149"/>
      <c r="AO61" s="14" t="s">
        <v>7</v>
      </c>
      <c r="AP61" s="14"/>
      <c r="AQ61" s="14"/>
      <c r="AR61" s="14"/>
      <c r="AS61" s="15"/>
      <c r="AT61" s="14"/>
      <c r="AU61" s="14"/>
      <c r="AV61" s="14"/>
      <c r="AW61" s="14"/>
      <c r="AX61" s="14"/>
      <c r="AY61" s="14" t="s">
        <v>7</v>
      </c>
      <c r="AZ61" s="14"/>
      <c r="BC61" s="31" t="str">
        <f t="shared" si="10"/>
        <v>Y</v>
      </c>
      <c r="BD61" s="31" t="str">
        <f t="shared" si="11"/>
        <v/>
      </c>
      <c r="BE61" s="31" t="str">
        <f t="shared" si="12"/>
        <v/>
      </c>
      <c r="BF61" s="31" t="str">
        <f t="shared" si="13"/>
        <v/>
      </c>
      <c r="BG61" s="31" t="str">
        <f t="shared" si="14"/>
        <v/>
      </c>
      <c r="BH61" s="31" t="str">
        <f t="shared" si="15"/>
        <v>Y</v>
      </c>
      <c r="BI61" s="31" t="str">
        <f t="shared" si="16"/>
        <v/>
      </c>
      <c r="BJ61" s="30" t="str">
        <f t="shared" si="17"/>
        <v>Y</v>
      </c>
      <c r="BK61" s="31" t="str">
        <f t="shared" si="18"/>
        <v>Y</v>
      </c>
      <c r="BL61" s="30" t="str">
        <f t="shared" si="19"/>
        <v/>
      </c>
      <c r="BM61" s="31" t="str">
        <f t="shared" si="20"/>
        <v>Y</v>
      </c>
      <c r="BN61" s="31" t="str">
        <f t="shared" si="21"/>
        <v/>
      </c>
      <c r="BO61" s="31" t="str">
        <f t="shared" si="22"/>
        <v/>
      </c>
      <c r="BP61" s="31" t="str">
        <f t="shared" si="23"/>
        <v/>
      </c>
      <c r="BQ61" s="31" t="str">
        <f t="shared" si="24"/>
        <v>Y</v>
      </c>
      <c r="BR61" s="31" t="str">
        <f t="shared" si="25"/>
        <v/>
      </c>
      <c r="BS61" s="31" t="str">
        <f t="shared" si="26"/>
        <v>Y</v>
      </c>
      <c r="BT61" s="31" t="str">
        <f t="shared" si="27"/>
        <v/>
      </c>
      <c r="BU61" s="30" t="str">
        <f t="shared" si="28"/>
        <v>Y</v>
      </c>
      <c r="BV61" s="39" t="str">
        <f t="shared" si="29"/>
        <v>Y</v>
      </c>
      <c r="BW61" s="3" t="s">
        <v>225</v>
      </c>
      <c r="BX61" s="16"/>
    </row>
    <row r="62" spans="1:76" x14ac:dyDescent="0.35">
      <c r="A62" s="11" t="s">
        <v>69</v>
      </c>
      <c r="B62" s="3" t="s">
        <v>16</v>
      </c>
      <c r="C62" s="12"/>
      <c r="D62" s="59"/>
      <c r="E62" s="13"/>
      <c r="F62" s="13"/>
      <c r="G62" s="13"/>
      <c r="H62" s="13" t="s">
        <v>7</v>
      </c>
      <c r="I62" s="13"/>
      <c r="J62" s="13"/>
      <c r="K62" s="13"/>
      <c r="L62" s="13"/>
      <c r="N62" s="13"/>
      <c r="Q62" s="13"/>
      <c r="R62" s="13"/>
      <c r="S62" s="13"/>
      <c r="V62" s="13"/>
      <c r="W62" s="13"/>
      <c r="X62" s="13"/>
      <c r="Y62" s="13"/>
      <c r="Z62" s="13"/>
      <c r="AA62" s="13"/>
      <c r="AB62" s="13"/>
      <c r="AD62" s="13"/>
      <c r="AE62" s="13"/>
      <c r="AF62" s="13"/>
      <c r="AG62" s="13"/>
      <c r="AH62" s="12"/>
      <c r="AI62" s="13"/>
      <c r="AJ62" s="14"/>
      <c r="AK62" s="13" t="s">
        <v>7</v>
      </c>
      <c r="AL62" s="13"/>
      <c r="AM62" s="15"/>
      <c r="AN62" s="149"/>
      <c r="AO62" s="14"/>
      <c r="AP62" s="14"/>
      <c r="AQ62" s="14" t="s">
        <v>7</v>
      </c>
      <c r="AR62" s="14"/>
      <c r="AS62" s="15"/>
      <c r="AT62" s="14"/>
      <c r="AU62" s="14"/>
      <c r="AV62" s="14" t="s">
        <v>7</v>
      </c>
      <c r="AW62" s="14"/>
      <c r="AX62" s="14"/>
      <c r="AY62" s="14"/>
      <c r="AZ62" s="14"/>
      <c r="BC62" s="31" t="str">
        <f t="shared" si="10"/>
        <v/>
      </c>
      <c r="BD62" s="31" t="str">
        <f t="shared" si="11"/>
        <v/>
      </c>
      <c r="BE62" s="31" t="str">
        <f t="shared" si="12"/>
        <v/>
      </c>
      <c r="BF62" s="31" t="str">
        <f t="shared" si="13"/>
        <v/>
      </c>
      <c r="BG62" s="31" t="str">
        <f t="shared" si="14"/>
        <v/>
      </c>
      <c r="BH62" s="31" t="str">
        <f t="shared" si="15"/>
        <v/>
      </c>
      <c r="BI62" s="31" t="str">
        <f t="shared" si="16"/>
        <v>Y</v>
      </c>
      <c r="BJ62" s="30" t="str">
        <f t="shared" si="17"/>
        <v/>
      </c>
      <c r="BK62" s="31" t="str">
        <f t="shared" si="18"/>
        <v>Y</v>
      </c>
      <c r="BL62" s="30" t="str">
        <f t="shared" si="19"/>
        <v/>
      </c>
      <c r="BM62" s="31" t="str">
        <f t="shared" si="20"/>
        <v/>
      </c>
      <c r="BN62" s="31" t="str">
        <f t="shared" si="21"/>
        <v/>
      </c>
      <c r="BO62" s="31" t="str">
        <f t="shared" si="22"/>
        <v/>
      </c>
      <c r="BP62" s="31" t="str">
        <f t="shared" si="23"/>
        <v/>
      </c>
      <c r="BQ62" s="31" t="str">
        <f t="shared" si="24"/>
        <v/>
      </c>
      <c r="BR62" s="31" t="str">
        <f t="shared" si="25"/>
        <v/>
      </c>
      <c r="BS62" s="31" t="str">
        <f t="shared" si="26"/>
        <v>Y</v>
      </c>
      <c r="BT62" s="31" t="str">
        <f t="shared" si="27"/>
        <v/>
      </c>
      <c r="BU62" s="30" t="str">
        <f t="shared" si="28"/>
        <v/>
      </c>
      <c r="BV62" s="39" t="str">
        <f t="shared" si="29"/>
        <v>Y</v>
      </c>
      <c r="BW62" s="3" t="s">
        <v>239</v>
      </c>
    </row>
    <row r="63" spans="1:76" x14ac:dyDescent="0.35">
      <c r="A63" s="11" t="s">
        <v>226</v>
      </c>
      <c r="B63" s="3" t="s">
        <v>12</v>
      </c>
      <c r="C63" s="12"/>
      <c r="D63" s="59"/>
      <c r="E63" s="13"/>
      <c r="F63" s="13"/>
      <c r="G63" s="13"/>
      <c r="H63" s="13"/>
      <c r="I63" s="13"/>
      <c r="J63" s="13"/>
      <c r="K63" s="13"/>
      <c r="L63" s="13"/>
      <c r="N63" s="13"/>
      <c r="Q63" s="13"/>
      <c r="R63" s="13"/>
      <c r="S63" s="13"/>
      <c r="T63" s="28" t="s">
        <v>7</v>
      </c>
      <c r="V63" s="13"/>
      <c r="W63" s="13"/>
      <c r="X63" s="13"/>
      <c r="Y63" s="13"/>
      <c r="Z63" s="13"/>
      <c r="AA63" s="13"/>
      <c r="AB63" s="13"/>
      <c r="AD63" s="13"/>
      <c r="AE63" s="13"/>
      <c r="AF63" s="13"/>
      <c r="AG63" s="13"/>
      <c r="AH63" s="12"/>
      <c r="AI63" s="13"/>
      <c r="AJ63" s="14"/>
      <c r="AK63" s="13" t="s">
        <v>7</v>
      </c>
      <c r="AL63" s="13"/>
      <c r="AM63" s="15"/>
      <c r="AN63" s="149"/>
      <c r="AO63" s="14"/>
      <c r="AP63" s="14"/>
      <c r="AQ63" s="14"/>
      <c r="AR63" s="14" t="s">
        <v>7</v>
      </c>
      <c r="AS63" s="15" t="s">
        <v>7</v>
      </c>
      <c r="AT63" s="14"/>
      <c r="AU63" s="14"/>
      <c r="AV63" s="14"/>
      <c r="AW63" s="14"/>
      <c r="AX63" s="14"/>
      <c r="AY63" s="14"/>
      <c r="AZ63" s="14"/>
      <c r="BC63" s="31" t="str">
        <f t="shared" si="10"/>
        <v/>
      </c>
      <c r="BD63" s="31" t="str">
        <f t="shared" si="11"/>
        <v/>
      </c>
      <c r="BE63" s="31" t="str">
        <f t="shared" si="12"/>
        <v/>
      </c>
      <c r="BF63" s="31" t="str">
        <f t="shared" si="13"/>
        <v/>
      </c>
      <c r="BG63" s="31" t="str">
        <f t="shared" si="14"/>
        <v/>
      </c>
      <c r="BH63" s="31" t="str">
        <f t="shared" si="15"/>
        <v/>
      </c>
      <c r="BI63" s="31" t="str">
        <f t="shared" si="16"/>
        <v>Y</v>
      </c>
      <c r="BJ63" s="30" t="str">
        <f t="shared" si="17"/>
        <v/>
      </c>
      <c r="BK63" s="31" t="str">
        <f t="shared" si="18"/>
        <v>Y</v>
      </c>
      <c r="BL63" s="30" t="str">
        <f t="shared" si="19"/>
        <v/>
      </c>
      <c r="BM63" s="31" t="str">
        <f t="shared" si="20"/>
        <v/>
      </c>
      <c r="BN63" s="31" t="str">
        <f t="shared" si="21"/>
        <v/>
      </c>
      <c r="BO63" s="31" t="str">
        <f t="shared" si="22"/>
        <v/>
      </c>
      <c r="BP63" s="31" t="str">
        <f t="shared" si="23"/>
        <v/>
      </c>
      <c r="BQ63" s="31" t="str">
        <f t="shared" si="24"/>
        <v>Y</v>
      </c>
      <c r="BR63" s="31" t="str">
        <f t="shared" si="25"/>
        <v/>
      </c>
      <c r="BS63" s="31" t="str">
        <f t="shared" si="26"/>
        <v/>
      </c>
      <c r="BT63" s="31" t="str">
        <f t="shared" si="27"/>
        <v/>
      </c>
      <c r="BU63" s="30" t="str">
        <f t="shared" si="28"/>
        <v/>
      </c>
      <c r="BV63" s="39" t="str">
        <f t="shared" si="29"/>
        <v>Y</v>
      </c>
      <c r="BW63" s="3" t="s">
        <v>279</v>
      </c>
    </row>
    <row r="64" spans="1:76" x14ac:dyDescent="0.35">
      <c r="A64" s="11" t="s">
        <v>70</v>
      </c>
      <c r="B64" s="3" t="s">
        <v>46</v>
      </c>
      <c r="C64" s="12"/>
      <c r="D64" s="59"/>
      <c r="E64" s="13"/>
      <c r="F64" s="13"/>
      <c r="G64" s="13"/>
      <c r="H64" s="13" t="s">
        <v>7</v>
      </c>
      <c r="I64" s="13"/>
      <c r="J64" s="13"/>
      <c r="K64" s="13"/>
      <c r="L64" s="13" t="s">
        <v>7</v>
      </c>
      <c r="N64" s="13"/>
      <c r="Q64" s="13"/>
      <c r="R64" s="13" t="s">
        <v>7</v>
      </c>
      <c r="S64" s="13"/>
      <c r="V64" s="13"/>
      <c r="W64" s="13"/>
      <c r="X64" s="13"/>
      <c r="Y64" s="13"/>
      <c r="Z64" s="13"/>
      <c r="AA64" s="13"/>
      <c r="AB64" s="13"/>
      <c r="AD64" s="13"/>
      <c r="AE64" s="13"/>
      <c r="AF64" s="13"/>
      <c r="AG64" s="13"/>
      <c r="AH64" s="12"/>
      <c r="AI64" s="13"/>
      <c r="AJ64" s="14"/>
      <c r="AK64" s="13" t="s">
        <v>7</v>
      </c>
      <c r="AL64" s="13" t="s">
        <v>7</v>
      </c>
      <c r="AM64" s="15"/>
      <c r="AN64" s="149"/>
      <c r="AO64" s="14"/>
      <c r="AP64" s="14"/>
      <c r="AQ64" s="14" t="s">
        <v>7</v>
      </c>
      <c r="AR64" s="14"/>
      <c r="AS64" s="15"/>
      <c r="AT64" s="14"/>
      <c r="AU64" s="14"/>
      <c r="AV64" s="14"/>
      <c r="AW64" s="14"/>
      <c r="AX64" s="14"/>
      <c r="AY64" s="14"/>
      <c r="AZ64" s="14" t="s">
        <v>7</v>
      </c>
      <c r="BC64" s="31" t="str">
        <f t="shared" si="10"/>
        <v/>
      </c>
      <c r="BD64" s="31" t="str">
        <f t="shared" si="11"/>
        <v/>
      </c>
      <c r="BE64" s="31" t="str">
        <f t="shared" si="12"/>
        <v/>
      </c>
      <c r="BF64" s="31" t="str">
        <f t="shared" si="13"/>
        <v>Y</v>
      </c>
      <c r="BG64" s="31" t="str">
        <f t="shared" si="14"/>
        <v>Y</v>
      </c>
      <c r="BH64" s="31" t="str">
        <f t="shared" si="15"/>
        <v/>
      </c>
      <c r="BI64" s="31" t="str">
        <f t="shared" si="16"/>
        <v>Y</v>
      </c>
      <c r="BJ64" s="30" t="str">
        <f t="shared" si="17"/>
        <v/>
      </c>
      <c r="BK64" s="31" t="str">
        <f t="shared" si="18"/>
        <v>Y</v>
      </c>
      <c r="BL64" s="30" t="str">
        <f t="shared" si="19"/>
        <v/>
      </c>
      <c r="BM64" s="31" t="str">
        <f t="shared" si="20"/>
        <v/>
      </c>
      <c r="BN64" s="31" t="str">
        <f t="shared" si="21"/>
        <v>Y</v>
      </c>
      <c r="BO64" s="31" t="str">
        <f t="shared" si="22"/>
        <v/>
      </c>
      <c r="BP64" s="31" t="str">
        <f t="shared" si="23"/>
        <v/>
      </c>
      <c r="BQ64" s="31" t="str">
        <f t="shared" si="24"/>
        <v/>
      </c>
      <c r="BR64" s="31" t="str">
        <f t="shared" si="25"/>
        <v/>
      </c>
      <c r="BS64" s="31" t="str">
        <f t="shared" si="26"/>
        <v>Y</v>
      </c>
      <c r="BT64" s="31" t="str">
        <f t="shared" si="27"/>
        <v>Y</v>
      </c>
      <c r="BU64" s="30" t="str">
        <f t="shared" si="28"/>
        <v>Y</v>
      </c>
      <c r="BV64" s="39" t="str">
        <f t="shared" si="29"/>
        <v>Y</v>
      </c>
      <c r="BW64" s="3" t="s">
        <v>458</v>
      </c>
    </row>
    <row r="65" spans="1:75" x14ac:dyDescent="0.35">
      <c r="A65" s="13" t="s">
        <v>71</v>
      </c>
      <c r="B65" s="12" t="s">
        <v>46</v>
      </c>
      <c r="C65" s="12"/>
      <c r="D65" s="59"/>
      <c r="E65" s="13"/>
      <c r="F65" s="13"/>
      <c r="G65" s="13"/>
      <c r="H65" s="13"/>
      <c r="I65" s="13"/>
      <c r="J65" s="13"/>
      <c r="K65" s="13"/>
      <c r="L65" s="13"/>
      <c r="N65" s="13"/>
      <c r="P65" s="13" t="s">
        <v>7</v>
      </c>
      <c r="Q65" s="13"/>
      <c r="R65" s="13"/>
      <c r="S65" s="13"/>
      <c r="V65" s="13"/>
      <c r="W65" s="13"/>
      <c r="X65" s="13"/>
      <c r="Y65" s="13"/>
      <c r="Z65" s="13"/>
      <c r="AA65" s="13"/>
      <c r="AB65" s="13"/>
      <c r="AC65" s="13" t="s">
        <v>7</v>
      </c>
      <c r="AD65" s="13"/>
      <c r="AE65" s="13"/>
      <c r="AF65" s="13"/>
      <c r="AG65" s="13"/>
      <c r="AH65" s="12"/>
      <c r="AI65" s="13"/>
      <c r="AJ65" s="14" t="s">
        <v>7</v>
      </c>
      <c r="AK65" s="13" t="s">
        <v>7</v>
      </c>
      <c r="AL65" s="13"/>
      <c r="AM65" s="12"/>
      <c r="AN65" s="59"/>
      <c r="AO65" s="13"/>
      <c r="AP65" s="13"/>
      <c r="AQ65" s="13" t="s">
        <v>7</v>
      </c>
      <c r="AR65" s="13"/>
      <c r="AS65" s="12"/>
      <c r="AT65" s="13"/>
      <c r="AU65" s="13"/>
      <c r="AV65" s="13"/>
      <c r="AW65" s="13"/>
      <c r="AX65" s="13"/>
      <c r="AY65" s="13"/>
      <c r="AZ65" s="13" t="s">
        <v>7</v>
      </c>
      <c r="BC65" s="31" t="str">
        <f t="shared" si="10"/>
        <v>Y</v>
      </c>
      <c r="BD65" s="31" t="str">
        <f t="shared" si="11"/>
        <v/>
      </c>
      <c r="BE65" s="31" t="str">
        <f t="shared" si="12"/>
        <v/>
      </c>
      <c r="BF65" s="31" t="str">
        <f t="shared" si="13"/>
        <v/>
      </c>
      <c r="BG65" s="31" t="str">
        <f t="shared" si="14"/>
        <v/>
      </c>
      <c r="BH65" s="31" t="str">
        <f t="shared" si="15"/>
        <v/>
      </c>
      <c r="BI65" s="31" t="str">
        <f t="shared" si="16"/>
        <v/>
      </c>
      <c r="BJ65" s="30" t="str">
        <f t="shared" si="17"/>
        <v>Y</v>
      </c>
      <c r="BK65" s="31" t="str">
        <f t="shared" si="18"/>
        <v/>
      </c>
      <c r="BL65" s="30" t="str">
        <f t="shared" si="19"/>
        <v>Y</v>
      </c>
      <c r="BM65" s="31" t="str">
        <f t="shared" si="20"/>
        <v>Y</v>
      </c>
      <c r="BN65" s="31" t="str">
        <f t="shared" si="21"/>
        <v/>
      </c>
      <c r="BO65" s="31" t="str">
        <f t="shared" si="22"/>
        <v/>
      </c>
      <c r="BP65" s="31" t="str">
        <f t="shared" si="23"/>
        <v/>
      </c>
      <c r="BQ65" s="31" t="str">
        <f t="shared" si="24"/>
        <v/>
      </c>
      <c r="BR65" s="31" t="str">
        <f t="shared" si="25"/>
        <v/>
      </c>
      <c r="BS65" s="31" t="str">
        <f t="shared" si="26"/>
        <v/>
      </c>
      <c r="BT65" s="31" t="str">
        <f t="shared" si="27"/>
        <v/>
      </c>
      <c r="BU65" s="30" t="str">
        <f t="shared" si="28"/>
        <v>Y</v>
      </c>
      <c r="BV65" s="39" t="str">
        <f t="shared" si="29"/>
        <v/>
      </c>
      <c r="BW65" s="3" t="s">
        <v>269</v>
      </c>
    </row>
    <row r="66" spans="1:75" x14ac:dyDescent="0.35">
      <c r="A66" s="11" t="s">
        <v>72</v>
      </c>
      <c r="B66" s="3" t="s">
        <v>46</v>
      </c>
      <c r="C66" s="12"/>
      <c r="D66" s="59"/>
      <c r="E66" s="13"/>
      <c r="F66" s="13"/>
      <c r="G66" s="13"/>
      <c r="H66" s="13"/>
      <c r="I66" s="13"/>
      <c r="J66" s="13"/>
      <c r="K66" s="13"/>
      <c r="L66" s="13"/>
      <c r="N66" s="13"/>
      <c r="P66" s="13" t="s">
        <v>7</v>
      </c>
      <c r="Q66" s="13"/>
      <c r="R66" s="13"/>
      <c r="S66" s="13"/>
      <c r="V66" s="13"/>
      <c r="W66" s="13"/>
      <c r="X66" s="13"/>
      <c r="Y66" s="13"/>
      <c r="Z66" s="13"/>
      <c r="AA66" s="13"/>
      <c r="AB66" s="13"/>
      <c r="AD66" s="13"/>
      <c r="AE66" s="13"/>
      <c r="AF66" s="13"/>
      <c r="AG66" s="13"/>
      <c r="AH66" s="12"/>
      <c r="AI66" s="13"/>
      <c r="AJ66" s="14" t="s">
        <v>7</v>
      </c>
      <c r="AK66" s="13"/>
      <c r="AL66" s="13"/>
      <c r="AM66" s="15"/>
      <c r="AN66" s="149"/>
      <c r="AO66" s="14"/>
      <c r="AP66" s="14"/>
      <c r="AQ66" s="14" t="s">
        <v>7</v>
      </c>
      <c r="AR66" s="14"/>
      <c r="AS66" s="15"/>
      <c r="AT66" s="14"/>
      <c r="AU66" s="14"/>
      <c r="AV66" s="14"/>
      <c r="AW66" s="14"/>
      <c r="AX66" s="14"/>
      <c r="AY66" s="14"/>
      <c r="AZ66" s="14" t="s">
        <v>7</v>
      </c>
      <c r="BC66" s="31" t="str">
        <f t="shared" si="10"/>
        <v>Y</v>
      </c>
      <c r="BD66" s="31" t="str">
        <f t="shared" si="11"/>
        <v/>
      </c>
      <c r="BE66" s="31" t="str">
        <f t="shared" si="12"/>
        <v/>
      </c>
      <c r="BF66" s="31" t="str">
        <f t="shared" si="13"/>
        <v/>
      </c>
      <c r="BG66" s="31" t="str">
        <f t="shared" si="14"/>
        <v/>
      </c>
      <c r="BH66" s="31" t="str">
        <f t="shared" si="15"/>
        <v/>
      </c>
      <c r="BI66" s="31" t="str">
        <f t="shared" si="16"/>
        <v/>
      </c>
      <c r="BJ66" s="30" t="str">
        <f t="shared" si="17"/>
        <v>Y</v>
      </c>
      <c r="BK66" s="31" t="str">
        <f t="shared" si="18"/>
        <v/>
      </c>
      <c r="BL66" s="30" t="str">
        <f t="shared" si="19"/>
        <v>Y</v>
      </c>
      <c r="BM66" s="31" t="str">
        <f t="shared" si="20"/>
        <v/>
      </c>
      <c r="BN66" s="31" t="str">
        <f t="shared" si="21"/>
        <v/>
      </c>
      <c r="BO66" s="31" t="str">
        <f t="shared" si="22"/>
        <v/>
      </c>
      <c r="BP66" s="31" t="str">
        <f t="shared" si="23"/>
        <v/>
      </c>
      <c r="BQ66" s="31" t="str">
        <f t="shared" si="24"/>
        <v/>
      </c>
      <c r="BR66" s="31" t="str">
        <f t="shared" si="25"/>
        <v/>
      </c>
      <c r="BS66" s="31" t="str">
        <f t="shared" si="26"/>
        <v/>
      </c>
      <c r="BT66" s="31" t="str">
        <f t="shared" si="27"/>
        <v/>
      </c>
      <c r="BU66" s="30" t="str">
        <f t="shared" si="28"/>
        <v>Y</v>
      </c>
      <c r="BV66" s="39" t="str">
        <f t="shared" si="29"/>
        <v/>
      </c>
      <c r="BW66" s="3" t="s">
        <v>200</v>
      </c>
    </row>
    <row r="67" spans="1:75" x14ac:dyDescent="0.35">
      <c r="A67" s="11" t="s">
        <v>73</v>
      </c>
      <c r="B67" s="3" t="s">
        <v>384</v>
      </c>
      <c r="C67" s="12" t="s">
        <v>7</v>
      </c>
      <c r="D67" s="59"/>
      <c r="E67" s="13"/>
      <c r="F67" s="13"/>
      <c r="G67" s="13"/>
      <c r="H67" s="13"/>
      <c r="I67" s="13"/>
      <c r="J67" s="13"/>
      <c r="K67" s="13" t="s">
        <v>7</v>
      </c>
      <c r="L67" s="13"/>
      <c r="N67" s="13"/>
      <c r="Q67" s="13"/>
      <c r="R67" s="13"/>
      <c r="S67" s="13"/>
      <c r="V67" s="13"/>
      <c r="W67" s="13"/>
      <c r="X67" s="13"/>
      <c r="Y67" s="13"/>
      <c r="Z67" s="13"/>
      <c r="AA67" s="13"/>
      <c r="AB67" s="13"/>
      <c r="AD67" s="13"/>
      <c r="AE67" s="13"/>
      <c r="AF67" s="13"/>
      <c r="AG67" s="13"/>
      <c r="AH67" s="12"/>
      <c r="AI67" s="13"/>
      <c r="AJ67" s="14"/>
      <c r="AK67" s="13" t="s">
        <v>7</v>
      </c>
      <c r="AL67" s="13"/>
      <c r="AM67" s="15"/>
      <c r="AN67" s="149"/>
      <c r="AO67" s="14"/>
      <c r="AP67" s="14"/>
      <c r="AQ67" s="14" t="s">
        <v>7</v>
      </c>
      <c r="AR67" s="14"/>
      <c r="AS67" s="15"/>
      <c r="AT67" s="14"/>
      <c r="AU67" s="14" t="s">
        <v>7</v>
      </c>
      <c r="AV67" s="14"/>
      <c r="AW67" s="14"/>
      <c r="AX67" s="14"/>
      <c r="AY67" s="14"/>
      <c r="AZ67" s="14"/>
      <c r="BC67" s="31" t="str">
        <f t="shared" si="10"/>
        <v/>
      </c>
      <c r="BD67" s="31" t="str">
        <f t="shared" si="11"/>
        <v/>
      </c>
      <c r="BE67" s="31" t="str">
        <f t="shared" si="12"/>
        <v/>
      </c>
      <c r="BF67" s="31" t="str">
        <f t="shared" si="13"/>
        <v/>
      </c>
      <c r="BG67" s="31" t="str">
        <f t="shared" si="14"/>
        <v>Y</v>
      </c>
      <c r="BH67" s="31" t="str">
        <f t="shared" si="15"/>
        <v>Y</v>
      </c>
      <c r="BI67" s="31" t="str">
        <f t="shared" si="16"/>
        <v/>
      </c>
      <c r="BJ67" s="30" t="str">
        <f t="shared" si="17"/>
        <v/>
      </c>
      <c r="BK67" s="31" t="str">
        <f t="shared" si="18"/>
        <v>Y</v>
      </c>
      <c r="BL67" s="30" t="str">
        <f t="shared" si="19"/>
        <v/>
      </c>
      <c r="BM67" s="31" t="str">
        <f t="shared" si="20"/>
        <v/>
      </c>
      <c r="BN67" s="31" t="str">
        <f t="shared" si="21"/>
        <v/>
      </c>
      <c r="BO67" s="31" t="str">
        <f t="shared" si="22"/>
        <v>Y</v>
      </c>
      <c r="BP67" s="31" t="str">
        <f t="shared" si="23"/>
        <v/>
      </c>
      <c r="BQ67" s="31" t="str">
        <f t="shared" si="24"/>
        <v/>
      </c>
      <c r="BR67" s="31" t="str">
        <f t="shared" si="25"/>
        <v>Y</v>
      </c>
      <c r="BS67" s="31" t="str">
        <f t="shared" si="26"/>
        <v/>
      </c>
      <c r="BT67" s="31" t="str">
        <f t="shared" si="27"/>
        <v/>
      </c>
      <c r="BU67" s="30" t="str">
        <f t="shared" si="28"/>
        <v>Y</v>
      </c>
      <c r="BV67" s="39" t="str">
        <f t="shared" si="29"/>
        <v>Y</v>
      </c>
      <c r="BW67" s="3" t="s">
        <v>239</v>
      </c>
    </row>
    <row r="68" spans="1:75" x14ac:dyDescent="0.35">
      <c r="A68" s="11" t="s">
        <v>74</v>
      </c>
      <c r="B68" s="3" t="s">
        <v>24</v>
      </c>
      <c r="C68" s="12"/>
      <c r="D68" s="59"/>
      <c r="E68" s="13"/>
      <c r="F68" s="13"/>
      <c r="G68" s="13"/>
      <c r="H68" s="13"/>
      <c r="I68" s="13"/>
      <c r="J68" s="13"/>
      <c r="K68" s="13"/>
      <c r="L68" s="13"/>
      <c r="N68" s="13"/>
      <c r="P68" s="13" t="s">
        <v>7</v>
      </c>
      <c r="Q68" s="13"/>
      <c r="R68" s="13"/>
      <c r="S68" s="13"/>
      <c r="V68" s="13"/>
      <c r="W68" s="13"/>
      <c r="X68" s="13"/>
      <c r="Y68" s="13"/>
      <c r="Z68" s="13"/>
      <c r="AA68" s="13"/>
      <c r="AB68" s="13"/>
      <c r="AD68" s="13"/>
      <c r="AE68" s="13"/>
      <c r="AF68" s="13"/>
      <c r="AG68" s="13"/>
      <c r="AH68" s="12"/>
      <c r="AI68" s="13"/>
      <c r="AJ68" s="14" t="s">
        <v>7</v>
      </c>
      <c r="AK68" s="13"/>
      <c r="AL68" s="13"/>
      <c r="AM68" s="15"/>
      <c r="AN68" s="149"/>
      <c r="AO68" s="14"/>
      <c r="AP68" s="14"/>
      <c r="AQ68" s="14" t="s">
        <v>7</v>
      </c>
      <c r="AR68" s="14"/>
      <c r="AS68" s="15"/>
      <c r="AT68" s="14"/>
      <c r="AU68" s="14"/>
      <c r="AV68" s="14"/>
      <c r="AW68" s="14"/>
      <c r="AX68" s="14"/>
      <c r="AY68" s="14"/>
      <c r="AZ68" s="14" t="s">
        <v>7</v>
      </c>
      <c r="BC68" s="31" t="str">
        <f t="shared" ref="BC68:BC130" si="30">IF((OR(NOT(ISBLANK(P68)), NOT(ISBLANK(Z68)), NOT(ISBLANK(AB68)), NOT(ISBLANK(AC68)), NOT(ISBLANK(AD68)))),"Y","")</f>
        <v>Y</v>
      </c>
      <c r="BD68" s="31" t="str">
        <f t="shared" ref="BD68:BD130" si="31">IF((NOT(ISBLANK(W68))),"Y","")</f>
        <v/>
      </c>
      <c r="BE68" s="31" t="str">
        <f t="shared" ref="BE68:BE130" si="32">IF((NOT(ISBLANK(AA68))),"Y","")</f>
        <v/>
      </c>
      <c r="BF68" s="31" t="str">
        <f t="shared" ref="BF68:BF130" si="33">IF((OR(NOT(ISBLANK(R68)), NOT(ISBLANK(Y68)), NOT(ISBLANK(AF68)))),"Y","")</f>
        <v/>
      </c>
      <c r="BG68" s="31" t="str">
        <f t="shared" ref="BG68:BG130" si="34">IF((OR(NOT(ISBLANK(C68)), NOT(ISBLANK(L68)), NOT(ISBLANK(X68)), NOT(ISBLANK(AG68)))),"Y","")</f>
        <v/>
      </c>
      <c r="BH68" s="31" t="str">
        <f t="shared" ref="BH68:BH130" si="35">IF((OR(NOT(ISBLANK(D68)), NOT(ISBLANK(E68)), NOT(ISBLANK(F68)), NOT(ISBLANK(J68)), NOT(ISBLANK(K68)), NOT(ISBLANK(M68)), NOT(ISBLANK(Q68)), NOT(ISBLANK(U68)), NOT(ISBLANK(V68)))),"Y","")</f>
        <v/>
      </c>
      <c r="BI68" s="31" t="str">
        <f t="shared" ref="BI68:BI130" si="36">IF((OR(NOT(ISBLANK(G68)),  NOT(ISBLANK(H68)), NOT(ISBLANK(I68)), NOT(ISBLANK(N68)), NOT(ISBLANK(O68)), NOT(ISBLANK(T68)), NOT(ISBLANK(S68)), NOT(ISBLANK(AE68)))),"Y","")</f>
        <v/>
      </c>
      <c r="BJ68" s="30" t="str">
        <f t="shared" ref="BJ68:BJ130" si="37">IF((OR(NOT(ISBLANK(P68)), NOT(ISBLANK(W68)), NOT(ISBLANK(Z68)), NOT(ISBLANK(AB68)), NOT(ISBLANK(AC68)), NOT(ISBLANK(AD68)))),"Y","")</f>
        <v>Y</v>
      </c>
      <c r="BK68" s="31" t="str">
        <f t="shared" ref="BK68:BK130" si="38">IF((OR(NOT(ISBLANK(C68)), NOT(ISBLANK(D68)), NOT(ISBLANK(E68)), NOT(ISBLANK(F68)), NOT(ISBLANK(G68)),  NOT(ISBLANK(H68)), NOT(ISBLANK(I68)), NOT(ISBLANK(J68)), NOT(ISBLANK(K68)), NOT(ISBLANK(L68)), NOT(ISBLANK(M68)), NOT(ISBLANK(N68)), NOT(ISBLANK(O68)), NOT(ISBLANK(Q68)), NOT(ISBLANK(R68)), NOT(ISBLANK(S68)), NOT(ISBLANK(T68)), NOT(ISBLANK(U68)), NOT(ISBLANK(V68)), NOT(ISBLANK(X68)), NOT(ISBLANK(Y68)), NOT(ISBLANK(AA68)), NOT(ISBLANK(AE68)), NOT(ISBLANK(AF68)), NOT(ISBLANK(AG68)))),"Y","")</f>
        <v/>
      </c>
      <c r="BL68" s="30" t="str">
        <f t="shared" ref="BL68:BL130" si="39">IF((NOT(ISBLANK(P68))),"Y","")</f>
        <v>Y</v>
      </c>
      <c r="BM68" s="31" t="str">
        <f t="shared" ref="BM68:BM130" si="40">IF((OR(NOT(ISBLANK(D68)), NOT(ISBLANK(AC68)), NOT(ISBLANK(AD68)))),"Y","")</f>
        <v/>
      </c>
      <c r="BN68" s="31" t="str">
        <f t="shared" ref="BN68:BN130" si="41">IF((OR(NOT(ISBLANK(E68)), NOT(ISBLANK(L68)), NOT(ISBLANK(Z68)))),"Y","")</f>
        <v/>
      </c>
      <c r="BO68" s="31" t="str">
        <f t="shared" ref="BO68:BO130" si="42">IF((OR(NOT(ISBLANK(C68)), NOT(ISBLANK(AG68)))),"Y","")</f>
        <v/>
      </c>
      <c r="BP68" s="31" t="str">
        <f t="shared" ref="BP68:BP130" si="43">IF((OR(NOT(ISBLANK(W68)), NOT(ISBLANK(AA68)), NOT(ISBLANK(AB68)))),"Y","")</f>
        <v/>
      </c>
      <c r="BQ68" s="31" t="str">
        <f t="shared" ref="BQ68:BQ130" si="44">IF((OR(NOT(ISBLANK(G68)), NOT(ISBLANK(N68)), NOT(ISBLANK(S68)), NOT(ISBLANK(T68)), NOT(ISBLANK(U68)), NOT(ISBLANK(V68)))),"Y","")</f>
        <v/>
      </c>
      <c r="BR68" s="31" t="str">
        <f t="shared" ref="BR68:BR130" si="45">IF((OR(NOT(ISBLANK(F68)),  NOT(ISBLANK(J68)), NOT(ISBLANK(K68)), NOT(ISBLANK(M68)), NOT(ISBLANK(O68)))),"Y","")</f>
        <v/>
      </c>
      <c r="BS68" s="31" t="str">
        <f t="shared" ref="BS68:BS130" si="46">IF((OR(NOT(ISBLANK(H68)), NOT(ISBLANK(I68)), NOT(ISBLANK(Q68)), NOT(ISBLANK(Y68)), NOT(ISBLANK(AF68)))),"Y","")</f>
        <v/>
      </c>
      <c r="BT68" s="31" t="str">
        <f t="shared" ref="BT68:BT130" si="47">IF((OR(NOT(ISBLANK(R68)), NOT(ISBLANK(X68)), NOT(ISBLANK(AE68)))),"Y","")</f>
        <v/>
      </c>
      <c r="BU68" s="30" t="str">
        <f t="shared" ref="BU68:BU130" si="48">IF((OR(NOT(ISBLANK(C68)), NOT(ISBLANK(D68)), NOT(ISBLANK(E68)), NOT(ISBLANK(L68)), NOT(ISBLANK(P68)), NOT(ISBLANK(Z68)), NOT(ISBLANK(AA68)), NOT(ISBLANK(AC68)), NOT(ISBLANK(AD68)), NOT(ISBLANK(AG68)))),"Y","")</f>
        <v>Y</v>
      </c>
      <c r="BV68" s="39" t="str">
        <f t="shared" ref="BV68:BV130" si="49">IF((OR(NOT(ISBLANK(F68)), NOT(ISBLANK(G68)),  NOT(ISBLANK(H68)), NOT(ISBLANK(I68)), NOT(ISBLANK(J68)), NOT(ISBLANK(K68)), NOT(ISBLANK(M68)), NOT(ISBLANK(N68)), NOT(ISBLANK(O68)), NOT(ISBLANK(Q68)), NOT(ISBLANK(R68)), NOT(ISBLANK(S68)), NOT(ISBLANK(T68)), NOT(ISBLANK(U68)), NOT(ISBLANK(V68)), NOT(ISBLANK(W68)), NOT(ISBLANK(X68)), NOT(ISBLANK(Y68)), NOT(ISBLANK(AB68)), NOT(ISBLANK(AE68)), NOT(ISBLANK(AF68)))),"Y","")</f>
        <v/>
      </c>
      <c r="BW68" s="3" t="s">
        <v>201</v>
      </c>
    </row>
    <row r="69" spans="1:75" ht="29" x14ac:dyDescent="0.35">
      <c r="A69" s="11" t="s">
        <v>75</v>
      </c>
      <c r="B69" s="3" t="s">
        <v>30</v>
      </c>
      <c r="C69" s="12"/>
      <c r="D69" s="59"/>
      <c r="E69" s="13"/>
      <c r="F69" s="13"/>
      <c r="G69" s="13"/>
      <c r="H69" s="13"/>
      <c r="I69" s="13"/>
      <c r="J69" s="13"/>
      <c r="K69" s="13"/>
      <c r="L69" s="13"/>
      <c r="N69" s="13"/>
      <c r="P69" s="13" t="s">
        <v>7</v>
      </c>
      <c r="Q69" s="13"/>
      <c r="R69" s="13"/>
      <c r="S69" s="13"/>
      <c r="V69" s="13"/>
      <c r="W69" s="13"/>
      <c r="X69" s="13"/>
      <c r="Y69" s="13"/>
      <c r="Z69" s="13"/>
      <c r="AA69" s="13"/>
      <c r="AB69" s="13"/>
      <c r="AD69" s="13"/>
      <c r="AE69" s="13"/>
      <c r="AF69" s="13"/>
      <c r="AG69" s="13"/>
      <c r="AH69" s="12"/>
      <c r="AI69" s="13"/>
      <c r="AJ69" s="14" t="s">
        <v>7</v>
      </c>
      <c r="AK69" s="13"/>
      <c r="AL69" s="13"/>
      <c r="AM69" s="15"/>
      <c r="AN69" s="149"/>
      <c r="AO69" s="14"/>
      <c r="AP69" s="14"/>
      <c r="AQ69" s="14" t="s">
        <v>7</v>
      </c>
      <c r="AR69" s="14"/>
      <c r="AS69" s="15"/>
      <c r="AT69" s="14"/>
      <c r="AU69" s="14"/>
      <c r="AV69" s="14" t="s">
        <v>7</v>
      </c>
      <c r="AW69" s="14"/>
      <c r="AX69" s="14"/>
      <c r="AY69" s="14"/>
      <c r="AZ69" s="14"/>
      <c r="BC69" s="31" t="str">
        <f t="shared" si="30"/>
        <v>Y</v>
      </c>
      <c r="BD69" s="31" t="str">
        <f t="shared" si="31"/>
        <v/>
      </c>
      <c r="BE69" s="31" t="str">
        <f t="shared" si="32"/>
        <v/>
      </c>
      <c r="BF69" s="31" t="str">
        <f t="shared" si="33"/>
        <v/>
      </c>
      <c r="BG69" s="31" t="str">
        <f t="shared" si="34"/>
        <v/>
      </c>
      <c r="BH69" s="31" t="str">
        <f t="shared" si="35"/>
        <v/>
      </c>
      <c r="BI69" s="31" t="str">
        <f t="shared" si="36"/>
        <v/>
      </c>
      <c r="BJ69" s="30" t="str">
        <f t="shared" si="37"/>
        <v>Y</v>
      </c>
      <c r="BK69" s="31" t="str">
        <f t="shared" si="38"/>
        <v/>
      </c>
      <c r="BL69" s="30" t="str">
        <f t="shared" si="39"/>
        <v>Y</v>
      </c>
      <c r="BM69" s="31" t="str">
        <f t="shared" si="40"/>
        <v/>
      </c>
      <c r="BN69" s="31" t="str">
        <f t="shared" si="41"/>
        <v/>
      </c>
      <c r="BO69" s="31" t="str">
        <f t="shared" si="42"/>
        <v/>
      </c>
      <c r="BP69" s="31" t="str">
        <f t="shared" si="43"/>
        <v/>
      </c>
      <c r="BQ69" s="31" t="str">
        <f t="shared" si="44"/>
        <v/>
      </c>
      <c r="BR69" s="31" t="str">
        <f t="shared" si="45"/>
        <v/>
      </c>
      <c r="BS69" s="31" t="str">
        <f t="shared" si="46"/>
        <v/>
      </c>
      <c r="BT69" s="31" t="str">
        <f t="shared" si="47"/>
        <v/>
      </c>
      <c r="BU69" s="30" t="str">
        <f t="shared" si="48"/>
        <v>Y</v>
      </c>
      <c r="BV69" s="39" t="str">
        <f t="shared" si="49"/>
        <v/>
      </c>
      <c r="BW69" s="3" t="s">
        <v>198</v>
      </c>
    </row>
    <row r="70" spans="1:75" x14ac:dyDescent="0.35">
      <c r="A70" s="11" t="s">
        <v>76</v>
      </c>
      <c r="B70" s="3" t="s">
        <v>12</v>
      </c>
      <c r="C70" s="12"/>
      <c r="D70" s="59"/>
      <c r="E70" s="13"/>
      <c r="F70" s="13"/>
      <c r="G70" s="13"/>
      <c r="H70" s="13"/>
      <c r="I70" s="13"/>
      <c r="J70" s="13"/>
      <c r="K70" s="13"/>
      <c r="L70" s="13"/>
      <c r="N70" s="13"/>
      <c r="Q70" s="13"/>
      <c r="R70" s="13"/>
      <c r="S70" s="13" t="s">
        <v>7</v>
      </c>
      <c r="V70" s="13"/>
      <c r="W70" s="13"/>
      <c r="X70" s="13"/>
      <c r="Y70" s="13"/>
      <c r="Z70" s="13"/>
      <c r="AA70" s="13"/>
      <c r="AB70" s="13"/>
      <c r="AD70" s="13"/>
      <c r="AE70" s="13"/>
      <c r="AF70" s="13"/>
      <c r="AG70" s="13"/>
      <c r="AH70" s="12" t="s">
        <v>7</v>
      </c>
      <c r="AI70" s="13"/>
      <c r="AJ70" s="14"/>
      <c r="AK70" s="13"/>
      <c r="AL70" s="13"/>
      <c r="AM70" s="15"/>
      <c r="AN70" s="149"/>
      <c r="AO70" s="14"/>
      <c r="AP70" s="14"/>
      <c r="AQ70" s="14"/>
      <c r="AR70" s="14" t="s">
        <v>7</v>
      </c>
      <c r="AS70" s="15" t="s">
        <v>7</v>
      </c>
      <c r="AT70" s="14"/>
      <c r="AU70" s="14"/>
      <c r="AV70" s="14"/>
      <c r="AW70" s="14"/>
      <c r="AX70" s="14"/>
      <c r="AY70" s="14"/>
      <c r="AZ70" s="14"/>
      <c r="BC70" s="31" t="str">
        <f t="shared" si="30"/>
        <v/>
      </c>
      <c r="BD70" s="31" t="str">
        <f t="shared" si="31"/>
        <v/>
      </c>
      <c r="BE70" s="31" t="str">
        <f t="shared" si="32"/>
        <v/>
      </c>
      <c r="BF70" s="31" t="str">
        <f t="shared" si="33"/>
        <v/>
      </c>
      <c r="BG70" s="31" t="str">
        <f t="shared" si="34"/>
        <v/>
      </c>
      <c r="BH70" s="31" t="str">
        <f t="shared" si="35"/>
        <v/>
      </c>
      <c r="BI70" s="31" t="str">
        <f t="shared" si="36"/>
        <v>Y</v>
      </c>
      <c r="BJ70" s="30" t="str">
        <f t="shared" si="37"/>
        <v/>
      </c>
      <c r="BK70" s="31" t="str">
        <f t="shared" si="38"/>
        <v>Y</v>
      </c>
      <c r="BL70" s="30" t="str">
        <f t="shared" si="39"/>
        <v/>
      </c>
      <c r="BM70" s="31" t="str">
        <f t="shared" si="40"/>
        <v/>
      </c>
      <c r="BN70" s="31" t="str">
        <f t="shared" si="41"/>
        <v/>
      </c>
      <c r="BO70" s="31" t="str">
        <f t="shared" si="42"/>
        <v/>
      </c>
      <c r="BP70" s="31" t="str">
        <f t="shared" si="43"/>
        <v/>
      </c>
      <c r="BQ70" s="31" t="str">
        <f t="shared" si="44"/>
        <v>Y</v>
      </c>
      <c r="BR70" s="31" t="str">
        <f t="shared" si="45"/>
        <v/>
      </c>
      <c r="BS70" s="31" t="str">
        <f t="shared" si="46"/>
        <v/>
      </c>
      <c r="BT70" s="31" t="str">
        <f t="shared" si="47"/>
        <v/>
      </c>
      <c r="BU70" s="30" t="str">
        <f t="shared" si="48"/>
        <v/>
      </c>
      <c r="BV70" s="39" t="str">
        <f t="shared" si="49"/>
        <v>Y</v>
      </c>
      <c r="BW70" s="3" t="s">
        <v>177</v>
      </c>
    </row>
    <row r="71" spans="1:75" x14ac:dyDescent="0.35">
      <c r="A71" s="11" t="s">
        <v>77</v>
      </c>
      <c r="B71" s="3" t="s">
        <v>30</v>
      </c>
      <c r="C71" s="12"/>
      <c r="D71" s="59"/>
      <c r="E71" s="13"/>
      <c r="F71" s="13"/>
      <c r="G71" s="13"/>
      <c r="H71" s="13"/>
      <c r="I71" s="13"/>
      <c r="J71" s="13"/>
      <c r="K71" s="13"/>
      <c r="L71" s="13"/>
      <c r="N71" s="13"/>
      <c r="Q71" s="13"/>
      <c r="R71" s="13"/>
      <c r="S71" s="13"/>
      <c r="V71" s="13"/>
      <c r="W71" s="13"/>
      <c r="X71" s="13"/>
      <c r="Y71" s="13"/>
      <c r="Z71" s="13"/>
      <c r="AA71" s="13"/>
      <c r="AB71" s="13"/>
      <c r="AC71" s="13" t="s">
        <v>7</v>
      </c>
      <c r="AD71" s="13"/>
      <c r="AE71" s="13"/>
      <c r="AF71" s="13"/>
      <c r="AG71" s="13"/>
      <c r="AH71" s="12"/>
      <c r="AI71" s="13"/>
      <c r="AJ71" s="14" t="s">
        <v>7</v>
      </c>
      <c r="AK71" s="13" t="s">
        <v>7</v>
      </c>
      <c r="AL71" s="13"/>
      <c r="AM71" s="15"/>
      <c r="AN71" s="149"/>
      <c r="AO71" s="14"/>
      <c r="AP71" s="14"/>
      <c r="AQ71" s="14" t="s">
        <v>7</v>
      </c>
      <c r="AR71" s="14"/>
      <c r="AS71" s="15"/>
      <c r="AT71" s="14"/>
      <c r="AU71" s="14"/>
      <c r="AV71" s="14" t="s">
        <v>7</v>
      </c>
      <c r="AW71" s="14"/>
      <c r="AX71" s="14"/>
      <c r="AY71" s="14"/>
      <c r="AZ71" s="14"/>
      <c r="BC71" s="31" t="str">
        <f t="shared" si="30"/>
        <v>Y</v>
      </c>
      <c r="BD71" s="31" t="str">
        <f t="shared" si="31"/>
        <v/>
      </c>
      <c r="BE71" s="31" t="str">
        <f t="shared" si="32"/>
        <v/>
      </c>
      <c r="BF71" s="31" t="str">
        <f t="shared" si="33"/>
        <v/>
      </c>
      <c r="BG71" s="31" t="str">
        <f t="shared" si="34"/>
        <v/>
      </c>
      <c r="BH71" s="31" t="str">
        <f t="shared" si="35"/>
        <v/>
      </c>
      <c r="BI71" s="31" t="str">
        <f t="shared" si="36"/>
        <v/>
      </c>
      <c r="BJ71" s="30" t="str">
        <f t="shared" si="37"/>
        <v>Y</v>
      </c>
      <c r="BK71" s="31" t="str">
        <f t="shared" si="38"/>
        <v/>
      </c>
      <c r="BL71" s="30" t="str">
        <f t="shared" si="39"/>
        <v/>
      </c>
      <c r="BM71" s="31" t="str">
        <f t="shared" si="40"/>
        <v>Y</v>
      </c>
      <c r="BN71" s="31" t="str">
        <f t="shared" si="41"/>
        <v/>
      </c>
      <c r="BO71" s="31" t="str">
        <f t="shared" si="42"/>
        <v/>
      </c>
      <c r="BP71" s="31" t="str">
        <f t="shared" si="43"/>
        <v/>
      </c>
      <c r="BQ71" s="31" t="str">
        <f t="shared" si="44"/>
        <v/>
      </c>
      <c r="BR71" s="31" t="str">
        <f t="shared" si="45"/>
        <v/>
      </c>
      <c r="BS71" s="31" t="str">
        <f t="shared" si="46"/>
        <v/>
      </c>
      <c r="BT71" s="31" t="str">
        <f t="shared" si="47"/>
        <v/>
      </c>
      <c r="BU71" s="30" t="str">
        <f t="shared" si="48"/>
        <v>Y</v>
      </c>
      <c r="BV71" s="39" t="str">
        <f t="shared" si="49"/>
        <v/>
      </c>
      <c r="BW71" s="3" t="s">
        <v>202</v>
      </c>
    </row>
    <row r="72" spans="1:75" x14ac:dyDescent="0.35">
      <c r="A72" s="11" t="s">
        <v>174</v>
      </c>
      <c r="B72" s="12" t="s">
        <v>18</v>
      </c>
      <c r="C72" s="12"/>
      <c r="D72" s="59"/>
      <c r="E72" s="13"/>
      <c r="F72" s="13"/>
      <c r="G72" s="13"/>
      <c r="H72" s="13" t="s">
        <v>7</v>
      </c>
      <c r="I72" s="13"/>
      <c r="J72" s="13"/>
      <c r="K72" s="13"/>
      <c r="L72" s="13"/>
      <c r="N72" s="13"/>
      <c r="Q72" s="13"/>
      <c r="R72" s="13"/>
      <c r="S72" s="13"/>
      <c r="V72" s="13"/>
      <c r="W72" s="13"/>
      <c r="X72" s="13"/>
      <c r="Y72" s="13"/>
      <c r="Z72" s="13"/>
      <c r="AA72" s="13"/>
      <c r="AB72" s="13"/>
      <c r="AD72" s="13"/>
      <c r="AE72" s="13"/>
      <c r="AF72" s="13"/>
      <c r="AG72" s="13"/>
      <c r="AH72" s="12"/>
      <c r="AI72" s="13"/>
      <c r="AJ72" s="14"/>
      <c r="AK72" s="13" t="s">
        <v>7</v>
      </c>
      <c r="AL72" s="13"/>
      <c r="AM72" s="15"/>
      <c r="AN72" s="149"/>
      <c r="AO72" s="14"/>
      <c r="AP72" s="14"/>
      <c r="AQ72" s="14" t="s">
        <v>7</v>
      </c>
      <c r="AR72" s="14"/>
      <c r="AS72" s="15"/>
      <c r="AT72" s="14" t="s">
        <v>7</v>
      </c>
      <c r="AU72" s="14"/>
      <c r="AV72" s="14"/>
      <c r="AW72" s="14"/>
      <c r="AX72" s="14"/>
      <c r="AY72" s="14"/>
      <c r="AZ72" s="14"/>
      <c r="BC72" s="31" t="str">
        <f t="shared" si="30"/>
        <v/>
      </c>
      <c r="BD72" s="31" t="str">
        <f t="shared" si="31"/>
        <v/>
      </c>
      <c r="BE72" s="31" t="str">
        <f t="shared" si="32"/>
        <v/>
      </c>
      <c r="BF72" s="31" t="str">
        <f t="shared" si="33"/>
        <v/>
      </c>
      <c r="BG72" s="31" t="str">
        <f t="shared" si="34"/>
        <v/>
      </c>
      <c r="BH72" s="31" t="str">
        <f t="shared" si="35"/>
        <v/>
      </c>
      <c r="BI72" s="31" t="str">
        <f t="shared" si="36"/>
        <v>Y</v>
      </c>
      <c r="BJ72" s="30" t="str">
        <f t="shared" si="37"/>
        <v/>
      </c>
      <c r="BK72" s="31" t="str">
        <f t="shared" si="38"/>
        <v>Y</v>
      </c>
      <c r="BL72" s="30" t="str">
        <f t="shared" si="39"/>
        <v/>
      </c>
      <c r="BM72" s="31" t="str">
        <f t="shared" si="40"/>
        <v/>
      </c>
      <c r="BN72" s="31" t="str">
        <f t="shared" si="41"/>
        <v/>
      </c>
      <c r="BO72" s="31" t="str">
        <f t="shared" si="42"/>
        <v/>
      </c>
      <c r="BP72" s="31" t="str">
        <f t="shared" si="43"/>
        <v/>
      </c>
      <c r="BQ72" s="31" t="str">
        <f t="shared" si="44"/>
        <v/>
      </c>
      <c r="BR72" s="31" t="str">
        <f t="shared" si="45"/>
        <v/>
      </c>
      <c r="BS72" s="31" t="str">
        <f t="shared" si="46"/>
        <v>Y</v>
      </c>
      <c r="BT72" s="31" t="str">
        <f t="shared" si="47"/>
        <v/>
      </c>
      <c r="BU72" s="30" t="str">
        <f t="shared" si="48"/>
        <v/>
      </c>
      <c r="BV72" s="39" t="str">
        <f t="shared" si="49"/>
        <v>Y</v>
      </c>
      <c r="BW72" s="3" t="s">
        <v>203</v>
      </c>
    </row>
    <row r="73" spans="1:75" x14ac:dyDescent="0.35">
      <c r="A73" s="11" t="s">
        <v>78</v>
      </c>
      <c r="B73" s="3" t="s">
        <v>9</v>
      </c>
      <c r="C73" s="12" t="s">
        <v>7</v>
      </c>
      <c r="D73" s="59"/>
      <c r="E73" s="13"/>
      <c r="F73" s="13"/>
      <c r="G73" s="13"/>
      <c r="H73" s="13"/>
      <c r="I73" s="13"/>
      <c r="J73" s="13"/>
      <c r="K73" s="13"/>
      <c r="L73" s="13"/>
      <c r="N73" s="13"/>
      <c r="Q73" s="13"/>
      <c r="R73" s="13"/>
      <c r="S73" s="13"/>
      <c r="V73" s="13"/>
      <c r="W73" s="13"/>
      <c r="X73" s="13"/>
      <c r="Y73" s="13"/>
      <c r="Z73" s="13"/>
      <c r="AA73" s="13"/>
      <c r="AB73" s="13"/>
      <c r="AD73" s="13"/>
      <c r="AE73" s="13"/>
      <c r="AF73" s="13"/>
      <c r="AG73" s="13"/>
      <c r="AH73" s="12"/>
      <c r="AI73" s="13"/>
      <c r="AJ73" s="14"/>
      <c r="AK73" s="13" t="s">
        <v>7</v>
      </c>
      <c r="AL73" s="13"/>
      <c r="AM73" s="15"/>
      <c r="AN73" s="149"/>
      <c r="AO73" s="14"/>
      <c r="AP73" s="14"/>
      <c r="AQ73" s="14" t="s">
        <v>7</v>
      </c>
      <c r="AR73" s="14"/>
      <c r="AS73" s="15"/>
      <c r="AT73" s="14" t="s">
        <v>7</v>
      </c>
      <c r="AU73" s="14"/>
      <c r="AV73" s="14"/>
      <c r="AW73" s="14"/>
      <c r="AX73" s="14"/>
      <c r="AY73" s="14"/>
      <c r="AZ73" s="14"/>
      <c r="BC73" s="31" t="str">
        <f t="shared" si="30"/>
        <v/>
      </c>
      <c r="BD73" s="31" t="str">
        <f t="shared" si="31"/>
        <v/>
      </c>
      <c r="BE73" s="31" t="str">
        <f t="shared" si="32"/>
        <v/>
      </c>
      <c r="BF73" s="31" t="str">
        <f t="shared" si="33"/>
        <v/>
      </c>
      <c r="BG73" s="31" t="str">
        <f t="shared" si="34"/>
        <v>Y</v>
      </c>
      <c r="BH73" s="31" t="str">
        <f t="shared" si="35"/>
        <v/>
      </c>
      <c r="BI73" s="31" t="str">
        <f t="shared" si="36"/>
        <v/>
      </c>
      <c r="BJ73" s="30" t="str">
        <f t="shared" si="37"/>
        <v/>
      </c>
      <c r="BK73" s="31" t="str">
        <f t="shared" si="38"/>
        <v>Y</v>
      </c>
      <c r="BL73" s="30" t="str">
        <f t="shared" si="39"/>
        <v/>
      </c>
      <c r="BM73" s="31" t="str">
        <f t="shared" si="40"/>
        <v/>
      </c>
      <c r="BN73" s="31" t="str">
        <f t="shared" si="41"/>
        <v/>
      </c>
      <c r="BO73" s="31" t="str">
        <f t="shared" si="42"/>
        <v>Y</v>
      </c>
      <c r="BP73" s="31" t="str">
        <f t="shared" si="43"/>
        <v/>
      </c>
      <c r="BQ73" s="31" t="str">
        <f t="shared" si="44"/>
        <v/>
      </c>
      <c r="BR73" s="31" t="str">
        <f t="shared" si="45"/>
        <v/>
      </c>
      <c r="BS73" s="31" t="str">
        <f t="shared" si="46"/>
        <v/>
      </c>
      <c r="BT73" s="31" t="str">
        <f t="shared" si="47"/>
        <v/>
      </c>
      <c r="BU73" s="30" t="str">
        <f t="shared" si="48"/>
        <v>Y</v>
      </c>
      <c r="BV73" s="39" t="str">
        <f t="shared" si="49"/>
        <v/>
      </c>
      <c r="BW73" s="3" t="s">
        <v>235</v>
      </c>
    </row>
    <row r="74" spans="1:75" x14ac:dyDescent="0.35">
      <c r="A74" s="11" t="s">
        <v>259</v>
      </c>
      <c r="B74" s="3" t="s">
        <v>12</v>
      </c>
      <c r="C74" s="12"/>
      <c r="D74" s="59"/>
      <c r="E74" s="13"/>
      <c r="F74" s="13"/>
      <c r="G74" s="13"/>
      <c r="H74" s="13"/>
      <c r="I74" s="13"/>
      <c r="J74" s="13"/>
      <c r="K74" s="13"/>
      <c r="L74" s="13"/>
      <c r="N74" s="13"/>
      <c r="Q74" s="13"/>
      <c r="R74" s="13"/>
      <c r="S74" s="13"/>
      <c r="T74" s="28" t="s">
        <v>7</v>
      </c>
      <c r="V74" s="13"/>
      <c r="W74" s="13"/>
      <c r="X74" s="13"/>
      <c r="Y74" s="13"/>
      <c r="Z74" s="13"/>
      <c r="AA74" s="13"/>
      <c r="AB74" s="13"/>
      <c r="AD74" s="13"/>
      <c r="AE74" s="13"/>
      <c r="AF74" s="13"/>
      <c r="AG74" s="13"/>
      <c r="AH74" s="12"/>
      <c r="AI74" s="13"/>
      <c r="AJ74" s="14"/>
      <c r="AK74" s="13" t="s">
        <v>7</v>
      </c>
      <c r="AL74" s="13"/>
      <c r="AM74" s="15"/>
      <c r="AN74" s="149"/>
      <c r="AO74" s="14"/>
      <c r="AP74" s="14"/>
      <c r="AQ74" s="14"/>
      <c r="AR74" s="14" t="s">
        <v>7</v>
      </c>
      <c r="AS74" s="15" t="s">
        <v>7</v>
      </c>
      <c r="AT74" s="14"/>
      <c r="AU74" s="14"/>
      <c r="AV74" s="14"/>
      <c r="AW74" s="14"/>
      <c r="AX74" s="14"/>
      <c r="AY74" s="14"/>
      <c r="AZ74" s="14"/>
      <c r="BC74" s="31" t="str">
        <f t="shared" si="30"/>
        <v/>
      </c>
      <c r="BD74" s="31" t="str">
        <f t="shared" si="31"/>
        <v/>
      </c>
      <c r="BE74" s="31" t="str">
        <f t="shared" si="32"/>
        <v/>
      </c>
      <c r="BF74" s="31" t="str">
        <f t="shared" si="33"/>
        <v/>
      </c>
      <c r="BG74" s="31" t="str">
        <f t="shared" si="34"/>
        <v/>
      </c>
      <c r="BH74" s="31" t="str">
        <f t="shared" si="35"/>
        <v/>
      </c>
      <c r="BI74" s="31" t="str">
        <f t="shared" si="36"/>
        <v>Y</v>
      </c>
      <c r="BJ74" s="30" t="str">
        <f t="shared" si="37"/>
        <v/>
      </c>
      <c r="BK74" s="31" t="str">
        <f t="shared" si="38"/>
        <v>Y</v>
      </c>
      <c r="BL74" s="30" t="str">
        <f t="shared" si="39"/>
        <v/>
      </c>
      <c r="BM74" s="31" t="str">
        <f t="shared" si="40"/>
        <v/>
      </c>
      <c r="BN74" s="31" t="str">
        <f t="shared" si="41"/>
        <v/>
      </c>
      <c r="BO74" s="31" t="str">
        <f t="shared" si="42"/>
        <v/>
      </c>
      <c r="BP74" s="31" t="str">
        <f t="shared" si="43"/>
        <v/>
      </c>
      <c r="BQ74" s="31" t="str">
        <f t="shared" si="44"/>
        <v>Y</v>
      </c>
      <c r="BR74" s="31" t="str">
        <f t="shared" si="45"/>
        <v/>
      </c>
      <c r="BS74" s="31" t="str">
        <f t="shared" si="46"/>
        <v/>
      </c>
      <c r="BT74" s="31" t="str">
        <f t="shared" si="47"/>
        <v/>
      </c>
      <c r="BU74" s="30" t="str">
        <f t="shared" si="48"/>
        <v/>
      </c>
      <c r="BV74" s="39" t="str">
        <f t="shared" si="49"/>
        <v>Y</v>
      </c>
      <c r="BW74" s="3" t="s">
        <v>183</v>
      </c>
    </row>
    <row r="75" spans="1:75" x14ac:dyDescent="0.35">
      <c r="A75" s="13" t="s">
        <v>79</v>
      </c>
      <c r="B75" s="12" t="s">
        <v>18</v>
      </c>
      <c r="C75" s="12" t="s">
        <v>7</v>
      </c>
      <c r="D75" s="59"/>
      <c r="E75" s="13"/>
      <c r="F75" s="13"/>
      <c r="G75" s="13"/>
      <c r="H75" s="13"/>
      <c r="I75" s="13"/>
      <c r="J75" s="13"/>
      <c r="K75" s="13"/>
      <c r="L75" s="13"/>
      <c r="N75" s="13"/>
      <c r="Q75" s="13"/>
      <c r="R75" s="13"/>
      <c r="S75" s="13"/>
      <c r="V75" s="13"/>
      <c r="W75" s="13"/>
      <c r="X75" s="13"/>
      <c r="Y75" s="13"/>
      <c r="Z75" s="13"/>
      <c r="AA75" s="13"/>
      <c r="AB75" s="13"/>
      <c r="AD75" s="13"/>
      <c r="AE75" s="13"/>
      <c r="AF75" s="13"/>
      <c r="AG75" s="13"/>
      <c r="AH75" s="12"/>
      <c r="AI75" s="13"/>
      <c r="AJ75" s="14"/>
      <c r="AK75" s="13" t="s">
        <v>7</v>
      </c>
      <c r="AL75" s="13"/>
      <c r="AM75" s="12"/>
      <c r="AN75" s="59"/>
      <c r="AO75" s="13"/>
      <c r="AP75" s="13"/>
      <c r="AQ75" s="13" t="s">
        <v>7</v>
      </c>
      <c r="AR75" s="13"/>
      <c r="AS75" s="12"/>
      <c r="AT75" s="13" t="s">
        <v>7</v>
      </c>
      <c r="AU75" s="13"/>
      <c r="AV75" s="13"/>
      <c r="AW75" s="13"/>
      <c r="AX75" s="13"/>
      <c r="AY75" s="13"/>
      <c r="AZ75" s="13"/>
      <c r="BC75" s="31" t="str">
        <f t="shared" si="30"/>
        <v/>
      </c>
      <c r="BD75" s="31" t="str">
        <f t="shared" si="31"/>
        <v/>
      </c>
      <c r="BE75" s="31" t="str">
        <f t="shared" si="32"/>
        <v/>
      </c>
      <c r="BF75" s="31" t="str">
        <f t="shared" si="33"/>
        <v/>
      </c>
      <c r="BG75" s="31" t="str">
        <f t="shared" si="34"/>
        <v>Y</v>
      </c>
      <c r="BH75" s="31" t="str">
        <f t="shared" si="35"/>
        <v/>
      </c>
      <c r="BI75" s="31" t="str">
        <f t="shared" si="36"/>
        <v/>
      </c>
      <c r="BJ75" s="30" t="str">
        <f t="shared" si="37"/>
        <v/>
      </c>
      <c r="BK75" s="31" t="str">
        <f t="shared" si="38"/>
        <v>Y</v>
      </c>
      <c r="BL75" s="30" t="str">
        <f t="shared" si="39"/>
        <v/>
      </c>
      <c r="BM75" s="31" t="str">
        <f t="shared" si="40"/>
        <v/>
      </c>
      <c r="BN75" s="31" t="str">
        <f t="shared" si="41"/>
        <v/>
      </c>
      <c r="BO75" s="31" t="str">
        <f t="shared" si="42"/>
        <v>Y</v>
      </c>
      <c r="BP75" s="31" t="str">
        <f t="shared" si="43"/>
        <v/>
      </c>
      <c r="BQ75" s="31" t="str">
        <f t="shared" si="44"/>
        <v/>
      </c>
      <c r="BR75" s="31" t="str">
        <f t="shared" si="45"/>
        <v/>
      </c>
      <c r="BS75" s="31" t="str">
        <f t="shared" si="46"/>
        <v/>
      </c>
      <c r="BT75" s="31" t="str">
        <f t="shared" si="47"/>
        <v/>
      </c>
      <c r="BU75" s="30" t="str">
        <f t="shared" si="48"/>
        <v>Y</v>
      </c>
      <c r="BV75" s="39" t="str">
        <f t="shared" si="49"/>
        <v/>
      </c>
      <c r="BW75" s="3" t="s">
        <v>204</v>
      </c>
    </row>
    <row r="76" spans="1:75" x14ac:dyDescent="0.35">
      <c r="A76" s="11" t="s">
        <v>80</v>
      </c>
      <c r="B76" s="3" t="s">
        <v>18</v>
      </c>
      <c r="C76" s="12" t="s">
        <v>7</v>
      </c>
      <c r="D76" s="59"/>
      <c r="E76" s="13"/>
      <c r="F76" s="13"/>
      <c r="G76" s="13"/>
      <c r="H76" s="13"/>
      <c r="I76" s="13"/>
      <c r="J76" s="13"/>
      <c r="K76" s="13"/>
      <c r="L76" s="13"/>
      <c r="N76" s="13"/>
      <c r="Q76" s="13"/>
      <c r="R76" s="13"/>
      <c r="S76" s="13"/>
      <c r="V76" s="13"/>
      <c r="W76" s="13"/>
      <c r="X76" s="13"/>
      <c r="Y76" s="13"/>
      <c r="Z76" s="13"/>
      <c r="AA76" s="13"/>
      <c r="AB76" s="13"/>
      <c r="AD76" s="13"/>
      <c r="AE76" s="13"/>
      <c r="AF76" s="13"/>
      <c r="AG76" s="13"/>
      <c r="AH76" s="12"/>
      <c r="AI76" s="13"/>
      <c r="AJ76" s="14"/>
      <c r="AK76" s="13" t="s">
        <v>7</v>
      </c>
      <c r="AL76" s="13"/>
      <c r="AM76" s="15"/>
      <c r="AN76" s="149"/>
      <c r="AO76" s="14"/>
      <c r="AP76" s="14"/>
      <c r="AQ76" s="14" t="s">
        <v>7</v>
      </c>
      <c r="AR76" s="14"/>
      <c r="AS76" s="15"/>
      <c r="AT76" s="14" t="s">
        <v>7</v>
      </c>
      <c r="AU76" s="14"/>
      <c r="AV76" s="14"/>
      <c r="AW76" s="14"/>
      <c r="AX76" s="14"/>
      <c r="AY76" s="14"/>
      <c r="AZ76" s="14"/>
      <c r="BC76" s="31" t="str">
        <f t="shared" si="30"/>
        <v/>
      </c>
      <c r="BD76" s="31" t="str">
        <f t="shared" si="31"/>
        <v/>
      </c>
      <c r="BE76" s="31" t="str">
        <f t="shared" si="32"/>
        <v/>
      </c>
      <c r="BF76" s="31" t="str">
        <f t="shared" si="33"/>
        <v/>
      </c>
      <c r="BG76" s="31" t="str">
        <f t="shared" si="34"/>
        <v>Y</v>
      </c>
      <c r="BH76" s="31" t="str">
        <f t="shared" si="35"/>
        <v/>
      </c>
      <c r="BI76" s="31" t="str">
        <f t="shared" si="36"/>
        <v/>
      </c>
      <c r="BJ76" s="30" t="str">
        <f t="shared" si="37"/>
        <v/>
      </c>
      <c r="BK76" s="31" t="str">
        <f t="shared" si="38"/>
        <v>Y</v>
      </c>
      <c r="BL76" s="30" t="str">
        <f t="shared" si="39"/>
        <v/>
      </c>
      <c r="BM76" s="31" t="str">
        <f t="shared" si="40"/>
        <v/>
      </c>
      <c r="BN76" s="31" t="str">
        <f t="shared" si="41"/>
        <v/>
      </c>
      <c r="BO76" s="31" t="str">
        <f t="shared" si="42"/>
        <v>Y</v>
      </c>
      <c r="BP76" s="31" t="str">
        <f t="shared" si="43"/>
        <v/>
      </c>
      <c r="BQ76" s="31" t="str">
        <f t="shared" si="44"/>
        <v/>
      </c>
      <c r="BR76" s="31" t="str">
        <f t="shared" si="45"/>
        <v/>
      </c>
      <c r="BS76" s="31" t="str">
        <f t="shared" si="46"/>
        <v/>
      </c>
      <c r="BT76" s="31" t="str">
        <f t="shared" si="47"/>
        <v/>
      </c>
      <c r="BU76" s="30" t="str">
        <f t="shared" si="48"/>
        <v>Y</v>
      </c>
      <c r="BV76" s="39" t="str">
        <f t="shared" si="49"/>
        <v/>
      </c>
      <c r="BW76" s="3" t="s">
        <v>235</v>
      </c>
    </row>
    <row r="77" spans="1:75" x14ac:dyDescent="0.35">
      <c r="A77" s="11" t="s">
        <v>81</v>
      </c>
      <c r="B77" s="3" t="s">
        <v>16</v>
      </c>
      <c r="C77" s="12"/>
      <c r="D77" s="59"/>
      <c r="E77" s="13"/>
      <c r="F77" s="13"/>
      <c r="G77" s="13" t="s">
        <v>7</v>
      </c>
      <c r="H77" s="13"/>
      <c r="I77" s="13"/>
      <c r="J77" s="13"/>
      <c r="K77" s="13"/>
      <c r="L77" s="13"/>
      <c r="N77" s="13"/>
      <c r="Q77" s="13"/>
      <c r="R77" s="13"/>
      <c r="S77" s="13"/>
      <c r="V77" s="13"/>
      <c r="W77" s="13"/>
      <c r="X77" s="13"/>
      <c r="Y77" s="13"/>
      <c r="Z77" s="13"/>
      <c r="AA77" s="13"/>
      <c r="AB77" s="13"/>
      <c r="AD77" s="13"/>
      <c r="AE77" s="13"/>
      <c r="AF77" s="13"/>
      <c r="AG77" s="13"/>
      <c r="AH77" s="12"/>
      <c r="AI77" s="13"/>
      <c r="AJ77" s="14"/>
      <c r="AK77" s="13"/>
      <c r="AL77" s="13" t="s">
        <v>7</v>
      </c>
      <c r="AM77" s="15"/>
      <c r="AN77" s="149"/>
      <c r="AO77" s="14"/>
      <c r="AP77" s="14"/>
      <c r="AQ77" s="14" t="s">
        <v>7</v>
      </c>
      <c r="AR77" s="14"/>
      <c r="AS77" s="15"/>
      <c r="AT77" s="14"/>
      <c r="AU77" s="14"/>
      <c r="AV77" s="14" t="s">
        <v>7</v>
      </c>
      <c r="AW77" s="14"/>
      <c r="AX77" s="14"/>
      <c r="AY77" s="14"/>
      <c r="AZ77" s="14"/>
      <c r="BC77" s="31" t="str">
        <f t="shared" si="30"/>
        <v/>
      </c>
      <c r="BD77" s="31" t="str">
        <f t="shared" si="31"/>
        <v/>
      </c>
      <c r="BE77" s="31" t="str">
        <f t="shared" si="32"/>
        <v/>
      </c>
      <c r="BF77" s="31" t="str">
        <f t="shared" si="33"/>
        <v/>
      </c>
      <c r="BG77" s="31" t="str">
        <f t="shared" si="34"/>
        <v/>
      </c>
      <c r="BH77" s="31" t="str">
        <f t="shared" si="35"/>
        <v/>
      </c>
      <c r="BI77" s="31" t="str">
        <f t="shared" si="36"/>
        <v>Y</v>
      </c>
      <c r="BJ77" s="30" t="str">
        <f t="shared" si="37"/>
        <v/>
      </c>
      <c r="BK77" s="31" t="str">
        <f t="shared" si="38"/>
        <v>Y</v>
      </c>
      <c r="BL77" s="30" t="str">
        <f t="shared" si="39"/>
        <v/>
      </c>
      <c r="BM77" s="31" t="str">
        <f t="shared" si="40"/>
        <v/>
      </c>
      <c r="BN77" s="31" t="str">
        <f t="shared" si="41"/>
        <v/>
      </c>
      <c r="BO77" s="31" t="str">
        <f t="shared" si="42"/>
        <v/>
      </c>
      <c r="BP77" s="31" t="str">
        <f t="shared" si="43"/>
        <v/>
      </c>
      <c r="BQ77" s="31" t="str">
        <f t="shared" si="44"/>
        <v>Y</v>
      </c>
      <c r="BR77" s="31" t="str">
        <f t="shared" si="45"/>
        <v/>
      </c>
      <c r="BS77" s="31" t="str">
        <f t="shared" si="46"/>
        <v/>
      </c>
      <c r="BT77" s="31" t="str">
        <f t="shared" si="47"/>
        <v/>
      </c>
      <c r="BU77" s="30" t="str">
        <f t="shared" si="48"/>
        <v/>
      </c>
      <c r="BV77" s="39" t="str">
        <f t="shared" si="49"/>
        <v>Y</v>
      </c>
      <c r="BW77" s="3" t="s">
        <v>239</v>
      </c>
    </row>
    <row r="78" spans="1:75" ht="29" x14ac:dyDescent="0.35">
      <c r="A78" s="11" t="s">
        <v>82</v>
      </c>
      <c r="B78" s="3" t="s">
        <v>83</v>
      </c>
      <c r="C78" s="12" t="s">
        <v>7</v>
      </c>
      <c r="D78" s="59"/>
      <c r="E78" s="13"/>
      <c r="F78" s="13"/>
      <c r="G78" s="13"/>
      <c r="H78" s="13" t="s">
        <v>7</v>
      </c>
      <c r="I78" s="13"/>
      <c r="J78" s="13"/>
      <c r="K78" s="13"/>
      <c r="L78" s="13" t="s">
        <v>7</v>
      </c>
      <c r="N78" s="13"/>
      <c r="Q78" s="13"/>
      <c r="R78" s="13" t="s">
        <v>7</v>
      </c>
      <c r="S78" s="13"/>
      <c r="V78" s="13"/>
      <c r="W78" s="13"/>
      <c r="X78" s="13" t="s">
        <v>7</v>
      </c>
      <c r="Y78" s="13"/>
      <c r="Z78" s="13"/>
      <c r="AA78" s="13"/>
      <c r="AB78" s="13"/>
      <c r="AD78" s="13"/>
      <c r="AE78" s="13"/>
      <c r="AF78" s="13"/>
      <c r="AG78" s="13"/>
      <c r="AH78" s="12"/>
      <c r="AI78" s="13"/>
      <c r="AJ78" s="14"/>
      <c r="AK78" s="13" t="s">
        <v>7</v>
      </c>
      <c r="AL78" s="13" t="s">
        <v>7</v>
      </c>
      <c r="AM78" s="15"/>
      <c r="AN78" s="149"/>
      <c r="AO78" s="14"/>
      <c r="AP78" s="14"/>
      <c r="AQ78" s="14" t="s">
        <v>7</v>
      </c>
      <c r="AR78" s="14"/>
      <c r="AS78" s="15"/>
      <c r="AT78" s="14" t="s">
        <v>7</v>
      </c>
      <c r="AU78" s="14"/>
      <c r="AV78" s="14"/>
      <c r="AW78" s="14"/>
      <c r="AX78" s="14"/>
      <c r="AY78" s="14"/>
      <c r="AZ78" s="14"/>
      <c r="BC78" s="31" t="str">
        <f t="shared" si="30"/>
        <v/>
      </c>
      <c r="BD78" s="31" t="str">
        <f t="shared" si="31"/>
        <v/>
      </c>
      <c r="BE78" s="31" t="str">
        <f t="shared" si="32"/>
        <v/>
      </c>
      <c r="BF78" s="31" t="str">
        <f t="shared" si="33"/>
        <v>Y</v>
      </c>
      <c r="BG78" s="31" t="str">
        <f t="shared" si="34"/>
        <v>Y</v>
      </c>
      <c r="BH78" s="31" t="str">
        <f t="shared" si="35"/>
        <v/>
      </c>
      <c r="BI78" s="31" t="str">
        <f t="shared" si="36"/>
        <v>Y</v>
      </c>
      <c r="BJ78" s="30" t="str">
        <f t="shared" si="37"/>
        <v/>
      </c>
      <c r="BK78" s="31" t="str">
        <f t="shared" si="38"/>
        <v>Y</v>
      </c>
      <c r="BL78" s="30" t="str">
        <f t="shared" si="39"/>
        <v/>
      </c>
      <c r="BM78" s="31" t="str">
        <f t="shared" si="40"/>
        <v/>
      </c>
      <c r="BN78" s="31" t="str">
        <f t="shared" si="41"/>
        <v>Y</v>
      </c>
      <c r="BO78" s="31" t="str">
        <f t="shared" si="42"/>
        <v>Y</v>
      </c>
      <c r="BP78" s="31" t="str">
        <f t="shared" si="43"/>
        <v/>
      </c>
      <c r="BQ78" s="31" t="str">
        <f t="shared" si="44"/>
        <v/>
      </c>
      <c r="BR78" s="31" t="str">
        <f t="shared" si="45"/>
        <v/>
      </c>
      <c r="BS78" s="31" t="str">
        <f t="shared" si="46"/>
        <v>Y</v>
      </c>
      <c r="BT78" s="31" t="str">
        <f t="shared" si="47"/>
        <v>Y</v>
      </c>
      <c r="BU78" s="30" t="str">
        <f t="shared" si="48"/>
        <v>Y</v>
      </c>
      <c r="BV78" s="39" t="str">
        <f t="shared" si="49"/>
        <v>Y</v>
      </c>
      <c r="BW78" s="3" t="s">
        <v>242</v>
      </c>
    </row>
    <row r="79" spans="1:75" x14ac:dyDescent="0.35">
      <c r="A79" s="11" t="s">
        <v>84</v>
      </c>
      <c r="B79" s="3" t="s">
        <v>12</v>
      </c>
      <c r="C79" s="12"/>
      <c r="D79" s="59"/>
      <c r="E79" s="13"/>
      <c r="F79" s="13"/>
      <c r="G79" s="13"/>
      <c r="H79" s="13"/>
      <c r="I79" s="13"/>
      <c r="J79" s="13"/>
      <c r="K79" s="13"/>
      <c r="L79" s="13"/>
      <c r="N79" s="13"/>
      <c r="Q79" s="13"/>
      <c r="R79" s="13"/>
      <c r="S79" s="13"/>
      <c r="T79" s="28" t="s">
        <v>7</v>
      </c>
      <c r="V79" s="13"/>
      <c r="W79" s="13"/>
      <c r="X79" s="13"/>
      <c r="Y79" s="13"/>
      <c r="Z79" s="13"/>
      <c r="AA79" s="13"/>
      <c r="AB79" s="13"/>
      <c r="AD79" s="13"/>
      <c r="AE79" s="13"/>
      <c r="AF79" s="13"/>
      <c r="AG79" s="13"/>
      <c r="AH79" s="12"/>
      <c r="AI79" s="13"/>
      <c r="AJ79" s="14"/>
      <c r="AK79" s="13" t="s">
        <v>7</v>
      </c>
      <c r="AL79" s="13"/>
      <c r="AM79" s="15"/>
      <c r="AN79" s="149"/>
      <c r="AO79" s="14"/>
      <c r="AP79" s="14"/>
      <c r="AQ79" s="14"/>
      <c r="AR79" s="14" t="s">
        <v>7</v>
      </c>
      <c r="AS79" s="15" t="s">
        <v>7</v>
      </c>
      <c r="AT79" s="14"/>
      <c r="AU79" s="14"/>
      <c r="AV79" s="14"/>
      <c r="AW79" s="14"/>
      <c r="AX79" s="14"/>
      <c r="AY79" s="14"/>
      <c r="AZ79" s="14"/>
      <c r="BC79" s="31" t="str">
        <f t="shared" si="30"/>
        <v/>
      </c>
      <c r="BD79" s="31" t="str">
        <f t="shared" si="31"/>
        <v/>
      </c>
      <c r="BE79" s="31" t="str">
        <f t="shared" si="32"/>
        <v/>
      </c>
      <c r="BF79" s="31" t="str">
        <f t="shared" si="33"/>
        <v/>
      </c>
      <c r="BG79" s="31" t="str">
        <f t="shared" si="34"/>
        <v/>
      </c>
      <c r="BH79" s="31" t="str">
        <f t="shared" si="35"/>
        <v/>
      </c>
      <c r="BI79" s="31" t="str">
        <f t="shared" si="36"/>
        <v>Y</v>
      </c>
      <c r="BJ79" s="30" t="str">
        <f t="shared" si="37"/>
        <v/>
      </c>
      <c r="BK79" s="31" t="str">
        <f t="shared" si="38"/>
        <v>Y</v>
      </c>
      <c r="BL79" s="30" t="str">
        <f t="shared" si="39"/>
        <v/>
      </c>
      <c r="BM79" s="31" t="str">
        <f t="shared" si="40"/>
        <v/>
      </c>
      <c r="BN79" s="31" t="str">
        <f t="shared" si="41"/>
        <v/>
      </c>
      <c r="BO79" s="31" t="str">
        <f t="shared" si="42"/>
        <v/>
      </c>
      <c r="BP79" s="31" t="str">
        <f t="shared" si="43"/>
        <v/>
      </c>
      <c r="BQ79" s="31" t="str">
        <f t="shared" si="44"/>
        <v>Y</v>
      </c>
      <c r="BR79" s="31" t="str">
        <f t="shared" si="45"/>
        <v/>
      </c>
      <c r="BS79" s="31" t="str">
        <f t="shared" si="46"/>
        <v/>
      </c>
      <c r="BT79" s="31" t="str">
        <f t="shared" si="47"/>
        <v/>
      </c>
      <c r="BU79" s="30" t="str">
        <f t="shared" si="48"/>
        <v/>
      </c>
      <c r="BV79" s="39" t="str">
        <f t="shared" si="49"/>
        <v>Y</v>
      </c>
      <c r="BW79" s="3" t="s">
        <v>183</v>
      </c>
    </row>
    <row r="80" spans="1:75" ht="29" x14ac:dyDescent="0.35">
      <c r="A80" s="11" t="s">
        <v>85</v>
      </c>
      <c r="B80" s="3" t="s">
        <v>384</v>
      </c>
      <c r="C80" s="12"/>
      <c r="D80" s="59" t="s">
        <v>7</v>
      </c>
      <c r="E80" s="13"/>
      <c r="F80" s="13"/>
      <c r="G80" s="13"/>
      <c r="H80" s="13"/>
      <c r="I80" s="13"/>
      <c r="J80" s="13"/>
      <c r="K80" s="13"/>
      <c r="L80" s="13"/>
      <c r="N80" s="13"/>
      <c r="Q80" s="13"/>
      <c r="R80" s="13" t="s">
        <v>7</v>
      </c>
      <c r="S80" s="13"/>
      <c r="V80" s="13"/>
      <c r="W80" s="13"/>
      <c r="X80" s="13"/>
      <c r="Y80" s="13"/>
      <c r="Z80" s="13"/>
      <c r="AA80" s="13"/>
      <c r="AB80" s="13"/>
      <c r="AD80" s="13"/>
      <c r="AE80" s="13"/>
      <c r="AF80" s="13"/>
      <c r="AG80" s="13"/>
      <c r="AH80" s="12"/>
      <c r="AI80" s="13"/>
      <c r="AJ80" s="14"/>
      <c r="AK80" s="13" t="s">
        <v>7</v>
      </c>
      <c r="AL80" s="13" t="s">
        <v>7</v>
      </c>
      <c r="AM80" s="15"/>
      <c r="AN80" s="149"/>
      <c r="AO80" s="14"/>
      <c r="AP80" s="14"/>
      <c r="AQ80" s="14" t="s">
        <v>7</v>
      </c>
      <c r="AR80" s="14"/>
      <c r="AS80" s="15"/>
      <c r="AT80" s="14"/>
      <c r="AU80" s="14" t="s">
        <v>7</v>
      </c>
      <c r="AV80" s="14"/>
      <c r="AW80" s="14"/>
      <c r="AX80" s="14"/>
      <c r="AY80" s="14"/>
      <c r="AZ80" s="14"/>
      <c r="BC80" s="31" t="str">
        <f t="shared" si="30"/>
        <v/>
      </c>
      <c r="BD80" s="31" t="str">
        <f t="shared" si="31"/>
        <v/>
      </c>
      <c r="BE80" s="31" t="str">
        <f t="shared" si="32"/>
        <v/>
      </c>
      <c r="BF80" s="31" t="str">
        <f t="shared" si="33"/>
        <v>Y</v>
      </c>
      <c r="BG80" s="31" t="str">
        <f t="shared" si="34"/>
        <v/>
      </c>
      <c r="BH80" s="31" t="str">
        <f t="shared" si="35"/>
        <v>Y</v>
      </c>
      <c r="BI80" s="31" t="str">
        <f t="shared" si="36"/>
        <v/>
      </c>
      <c r="BJ80" s="30" t="str">
        <f t="shared" si="37"/>
        <v/>
      </c>
      <c r="BK80" s="31" t="str">
        <f t="shared" si="38"/>
        <v>Y</v>
      </c>
      <c r="BL80" s="30" t="str">
        <f t="shared" si="39"/>
        <v/>
      </c>
      <c r="BM80" s="31" t="str">
        <f t="shared" si="40"/>
        <v>Y</v>
      </c>
      <c r="BN80" s="31" t="str">
        <f t="shared" si="41"/>
        <v/>
      </c>
      <c r="BO80" s="31" t="str">
        <f t="shared" si="42"/>
        <v/>
      </c>
      <c r="BP80" s="31" t="str">
        <f t="shared" si="43"/>
        <v/>
      </c>
      <c r="BQ80" s="31" t="str">
        <f t="shared" si="44"/>
        <v/>
      </c>
      <c r="BR80" s="31" t="str">
        <f t="shared" si="45"/>
        <v/>
      </c>
      <c r="BS80" s="31" t="str">
        <f t="shared" si="46"/>
        <v/>
      </c>
      <c r="BT80" s="31" t="str">
        <f t="shared" si="47"/>
        <v>Y</v>
      </c>
      <c r="BU80" s="30" t="str">
        <f t="shared" si="48"/>
        <v>Y</v>
      </c>
      <c r="BV80" s="39" t="str">
        <f t="shared" si="49"/>
        <v>Y</v>
      </c>
      <c r="BW80" s="3" t="s">
        <v>446</v>
      </c>
    </row>
    <row r="81" spans="1:75" x14ac:dyDescent="0.35">
      <c r="A81" s="11" t="s">
        <v>86</v>
      </c>
      <c r="B81" s="3" t="s">
        <v>46</v>
      </c>
      <c r="C81" s="12"/>
      <c r="D81" s="59"/>
      <c r="E81" s="13"/>
      <c r="F81" s="13"/>
      <c r="G81" s="13"/>
      <c r="H81" s="13"/>
      <c r="I81" s="13"/>
      <c r="J81" s="13"/>
      <c r="K81" s="13"/>
      <c r="L81" s="13"/>
      <c r="N81" s="13"/>
      <c r="Q81" s="13"/>
      <c r="R81" s="13"/>
      <c r="S81" s="13" t="s">
        <v>7</v>
      </c>
      <c r="V81" s="13"/>
      <c r="W81" s="13"/>
      <c r="X81" s="13"/>
      <c r="Y81" s="13"/>
      <c r="Z81" s="13"/>
      <c r="AA81" s="13"/>
      <c r="AB81" s="13"/>
      <c r="AD81" s="13"/>
      <c r="AE81" s="13"/>
      <c r="AF81" s="13"/>
      <c r="AG81" s="13"/>
      <c r="AH81" s="12" t="s">
        <v>7</v>
      </c>
      <c r="AI81" s="13"/>
      <c r="AJ81" s="14"/>
      <c r="AK81" s="13"/>
      <c r="AL81" s="13"/>
      <c r="AM81" s="15"/>
      <c r="AN81" s="149"/>
      <c r="AO81" s="14"/>
      <c r="AP81" s="14"/>
      <c r="AQ81" s="14" t="s">
        <v>7</v>
      </c>
      <c r="AR81" s="14"/>
      <c r="AS81" s="15"/>
      <c r="AT81" s="14"/>
      <c r="AU81" s="14"/>
      <c r="AV81" s="14"/>
      <c r="AW81" s="14"/>
      <c r="AX81" s="14"/>
      <c r="AY81" s="14"/>
      <c r="AZ81" s="14" t="s">
        <v>7</v>
      </c>
      <c r="BC81" s="31" t="str">
        <f t="shared" si="30"/>
        <v/>
      </c>
      <c r="BD81" s="31" t="str">
        <f t="shared" si="31"/>
        <v/>
      </c>
      <c r="BE81" s="31" t="str">
        <f t="shared" si="32"/>
        <v/>
      </c>
      <c r="BF81" s="31" t="str">
        <f t="shared" si="33"/>
        <v/>
      </c>
      <c r="BG81" s="31" t="str">
        <f t="shared" si="34"/>
        <v/>
      </c>
      <c r="BH81" s="31" t="str">
        <f t="shared" si="35"/>
        <v/>
      </c>
      <c r="BI81" s="31" t="str">
        <f t="shared" si="36"/>
        <v>Y</v>
      </c>
      <c r="BJ81" s="30" t="str">
        <f t="shared" si="37"/>
        <v/>
      </c>
      <c r="BK81" s="31" t="str">
        <f t="shared" si="38"/>
        <v>Y</v>
      </c>
      <c r="BL81" s="30" t="str">
        <f t="shared" si="39"/>
        <v/>
      </c>
      <c r="BM81" s="31" t="str">
        <f t="shared" si="40"/>
        <v/>
      </c>
      <c r="BN81" s="31" t="str">
        <f t="shared" si="41"/>
        <v/>
      </c>
      <c r="BO81" s="31" t="str">
        <f t="shared" si="42"/>
        <v/>
      </c>
      <c r="BP81" s="31" t="str">
        <f t="shared" si="43"/>
        <v/>
      </c>
      <c r="BQ81" s="31" t="str">
        <f t="shared" si="44"/>
        <v>Y</v>
      </c>
      <c r="BR81" s="31" t="str">
        <f t="shared" si="45"/>
        <v/>
      </c>
      <c r="BS81" s="31" t="str">
        <f t="shared" si="46"/>
        <v/>
      </c>
      <c r="BT81" s="31" t="str">
        <f t="shared" si="47"/>
        <v/>
      </c>
      <c r="BU81" s="30" t="str">
        <f t="shared" si="48"/>
        <v/>
      </c>
      <c r="BV81" s="39" t="str">
        <f t="shared" si="49"/>
        <v>Y</v>
      </c>
      <c r="BW81" s="3" t="s">
        <v>205</v>
      </c>
    </row>
    <row r="82" spans="1:75" x14ac:dyDescent="0.35">
      <c r="A82" s="11" t="s">
        <v>223</v>
      </c>
      <c r="B82" s="3" t="s">
        <v>12</v>
      </c>
      <c r="C82" s="12"/>
      <c r="D82" s="59"/>
      <c r="E82" s="13" t="s">
        <v>7</v>
      </c>
      <c r="F82" s="13"/>
      <c r="G82" s="13"/>
      <c r="H82" s="13" t="s">
        <v>7</v>
      </c>
      <c r="I82" s="13"/>
      <c r="J82" s="13"/>
      <c r="K82" s="13"/>
      <c r="L82" s="13"/>
      <c r="N82" s="13"/>
      <c r="Q82" s="13"/>
      <c r="R82" s="13"/>
      <c r="S82" s="13"/>
      <c r="T82" s="28" t="s">
        <v>7</v>
      </c>
      <c r="V82" s="13"/>
      <c r="W82" s="13"/>
      <c r="X82" s="13"/>
      <c r="Y82" s="13"/>
      <c r="Z82" s="13"/>
      <c r="AA82" s="13"/>
      <c r="AB82" s="13"/>
      <c r="AD82" s="13"/>
      <c r="AE82" s="13"/>
      <c r="AF82" s="13"/>
      <c r="AG82" s="13"/>
      <c r="AH82" s="12"/>
      <c r="AI82" s="13"/>
      <c r="AJ82" s="14"/>
      <c r="AK82" s="13" t="s">
        <v>7</v>
      </c>
      <c r="AL82" s="13"/>
      <c r="AM82" s="15"/>
      <c r="AN82" s="149"/>
      <c r="AO82" s="14"/>
      <c r="AP82" s="14"/>
      <c r="AQ82" s="14"/>
      <c r="AR82" s="14" t="s">
        <v>7</v>
      </c>
      <c r="AS82" s="15" t="s">
        <v>7</v>
      </c>
      <c r="AT82" s="14"/>
      <c r="AU82" s="14"/>
      <c r="AV82" s="14"/>
      <c r="AW82" s="14"/>
      <c r="AX82" s="14"/>
      <c r="AY82" s="14"/>
      <c r="AZ82" s="14"/>
      <c r="BC82" s="31" t="str">
        <f t="shared" si="30"/>
        <v/>
      </c>
      <c r="BD82" s="31" t="str">
        <f t="shared" si="31"/>
        <v/>
      </c>
      <c r="BE82" s="31" t="str">
        <f t="shared" si="32"/>
        <v/>
      </c>
      <c r="BF82" s="31" t="str">
        <f t="shared" si="33"/>
        <v/>
      </c>
      <c r="BG82" s="31" t="str">
        <f t="shared" si="34"/>
        <v/>
      </c>
      <c r="BH82" s="31" t="str">
        <f t="shared" si="35"/>
        <v>Y</v>
      </c>
      <c r="BI82" s="31" t="str">
        <f t="shared" si="36"/>
        <v>Y</v>
      </c>
      <c r="BJ82" s="30" t="str">
        <f t="shared" si="37"/>
        <v/>
      </c>
      <c r="BK82" s="31" t="str">
        <f t="shared" si="38"/>
        <v>Y</v>
      </c>
      <c r="BL82" s="30" t="str">
        <f t="shared" si="39"/>
        <v/>
      </c>
      <c r="BM82" s="31" t="str">
        <f t="shared" si="40"/>
        <v/>
      </c>
      <c r="BN82" s="31" t="str">
        <f t="shared" si="41"/>
        <v>Y</v>
      </c>
      <c r="BO82" s="31" t="str">
        <f t="shared" si="42"/>
        <v/>
      </c>
      <c r="BP82" s="31" t="str">
        <f t="shared" si="43"/>
        <v/>
      </c>
      <c r="BQ82" s="31" t="str">
        <f t="shared" si="44"/>
        <v>Y</v>
      </c>
      <c r="BR82" s="31" t="str">
        <f t="shared" si="45"/>
        <v/>
      </c>
      <c r="BS82" s="31" t="str">
        <f t="shared" si="46"/>
        <v>Y</v>
      </c>
      <c r="BT82" s="31" t="str">
        <f t="shared" si="47"/>
        <v/>
      </c>
      <c r="BU82" s="30" t="str">
        <f t="shared" si="48"/>
        <v>Y</v>
      </c>
      <c r="BV82" s="39" t="str">
        <f t="shared" si="49"/>
        <v>Y</v>
      </c>
      <c r="BW82" s="3" t="s">
        <v>531</v>
      </c>
    </row>
    <row r="83" spans="1:75" x14ac:dyDescent="0.35">
      <c r="A83" s="11" t="s">
        <v>87</v>
      </c>
      <c r="B83" s="3" t="s">
        <v>46</v>
      </c>
      <c r="C83" s="12"/>
      <c r="D83" s="59"/>
      <c r="E83" s="13"/>
      <c r="F83" s="13"/>
      <c r="G83" s="13"/>
      <c r="H83" s="13" t="s">
        <v>7</v>
      </c>
      <c r="I83" s="13"/>
      <c r="J83" s="13"/>
      <c r="K83" s="13"/>
      <c r="L83" s="13" t="s">
        <v>7</v>
      </c>
      <c r="N83" s="13"/>
      <c r="Q83" s="13"/>
      <c r="R83" s="13"/>
      <c r="S83" s="13"/>
      <c r="V83" s="13"/>
      <c r="W83" s="13"/>
      <c r="X83" s="13"/>
      <c r="Y83" s="13"/>
      <c r="Z83" s="13"/>
      <c r="AA83" s="13"/>
      <c r="AB83" s="13"/>
      <c r="AD83" s="13"/>
      <c r="AE83" s="13"/>
      <c r="AF83" s="13"/>
      <c r="AG83" s="13"/>
      <c r="AH83" s="12"/>
      <c r="AI83" s="13"/>
      <c r="AJ83" s="14"/>
      <c r="AK83" s="13" t="s">
        <v>7</v>
      </c>
      <c r="AL83" s="13"/>
      <c r="AM83" s="15"/>
      <c r="AN83" s="149"/>
      <c r="AO83" s="14"/>
      <c r="AP83" s="14"/>
      <c r="AQ83" s="14" t="s">
        <v>7</v>
      </c>
      <c r="AR83" s="14"/>
      <c r="AS83" s="15"/>
      <c r="AT83" s="14"/>
      <c r="AU83" s="14"/>
      <c r="AV83" s="14"/>
      <c r="AW83" s="14"/>
      <c r="AX83" s="14"/>
      <c r="AY83" s="14"/>
      <c r="AZ83" s="14" t="s">
        <v>7</v>
      </c>
      <c r="BC83" s="31" t="str">
        <f t="shared" si="30"/>
        <v/>
      </c>
      <c r="BD83" s="31" t="str">
        <f t="shared" si="31"/>
        <v/>
      </c>
      <c r="BE83" s="31" t="str">
        <f t="shared" si="32"/>
        <v/>
      </c>
      <c r="BF83" s="31" t="str">
        <f t="shared" si="33"/>
        <v/>
      </c>
      <c r="BG83" s="31" t="str">
        <f t="shared" si="34"/>
        <v>Y</v>
      </c>
      <c r="BH83" s="31" t="str">
        <f t="shared" si="35"/>
        <v/>
      </c>
      <c r="BI83" s="31" t="str">
        <f t="shared" si="36"/>
        <v>Y</v>
      </c>
      <c r="BJ83" s="30" t="str">
        <f t="shared" si="37"/>
        <v/>
      </c>
      <c r="BK83" s="31" t="str">
        <f t="shared" si="38"/>
        <v>Y</v>
      </c>
      <c r="BL83" s="30" t="str">
        <f t="shared" si="39"/>
        <v/>
      </c>
      <c r="BM83" s="31" t="str">
        <f t="shared" si="40"/>
        <v/>
      </c>
      <c r="BN83" s="31" t="str">
        <f t="shared" si="41"/>
        <v>Y</v>
      </c>
      <c r="BO83" s="31" t="str">
        <f t="shared" si="42"/>
        <v/>
      </c>
      <c r="BP83" s="31" t="str">
        <f t="shared" si="43"/>
        <v/>
      </c>
      <c r="BQ83" s="31" t="str">
        <f t="shared" si="44"/>
        <v/>
      </c>
      <c r="BR83" s="31" t="str">
        <f t="shared" si="45"/>
        <v/>
      </c>
      <c r="BS83" s="31" t="str">
        <f t="shared" si="46"/>
        <v>Y</v>
      </c>
      <c r="BT83" s="31" t="str">
        <f t="shared" si="47"/>
        <v/>
      </c>
      <c r="BU83" s="30" t="str">
        <f t="shared" si="48"/>
        <v>Y</v>
      </c>
      <c r="BV83" s="39" t="str">
        <f t="shared" si="49"/>
        <v>Y</v>
      </c>
      <c r="BW83" s="3" t="s">
        <v>239</v>
      </c>
    </row>
    <row r="84" spans="1:75" x14ac:dyDescent="0.35">
      <c r="A84" s="11" t="s">
        <v>224</v>
      </c>
      <c r="B84" s="3" t="s">
        <v>12</v>
      </c>
      <c r="C84" s="12"/>
      <c r="D84" s="59"/>
      <c r="E84" s="13"/>
      <c r="F84" s="13"/>
      <c r="G84" s="13"/>
      <c r="H84" s="13" t="s">
        <v>7</v>
      </c>
      <c r="I84" s="13"/>
      <c r="J84" s="13"/>
      <c r="K84" s="13"/>
      <c r="L84" s="13"/>
      <c r="N84" s="13"/>
      <c r="Q84" s="13"/>
      <c r="R84" s="13"/>
      <c r="S84" s="13"/>
      <c r="T84" s="28" t="s">
        <v>7</v>
      </c>
      <c r="V84" s="13"/>
      <c r="W84" s="13"/>
      <c r="X84" s="13"/>
      <c r="Y84" s="13"/>
      <c r="Z84" s="13"/>
      <c r="AA84" s="13"/>
      <c r="AB84" s="13"/>
      <c r="AD84" s="13"/>
      <c r="AE84" s="13"/>
      <c r="AF84" s="13"/>
      <c r="AG84" s="13"/>
      <c r="AH84" s="12"/>
      <c r="AI84" s="13"/>
      <c r="AJ84" s="14"/>
      <c r="AK84" s="13" t="s">
        <v>7</v>
      </c>
      <c r="AL84" s="13"/>
      <c r="AM84" s="15"/>
      <c r="AN84" s="149"/>
      <c r="AO84" s="14"/>
      <c r="AP84" s="14"/>
      <c r="AQ84" s="14"/>
      <c r="AR84" s="14" t="s">
        <v>7</v>
      </c>
      <c r="AS84" s="15" t="s">
        <v>7</v>
      </c>
      <c r="AT84" s="14"/>
      <c r="AU84" s="14"/>
      <c r="AV84" s="14"/>
      <c r="AW84" s="14"/>
      <c r="AX84" s="14"/>
      <c r="AY84" s="14"/>
      <c r="AZ84" s="14"/>
      <c r="BC84" s="31" t="str">
        <f t="shared" si="30"/>
        <v/>
      </c>
      <c r="BD84" s="31" t="str">
        <f t="shared" si="31"/>
        <v/>
      </c>
      <c r="BE84" s="31" t="str">
        <f t="shared" si="32"/>
        <v/>
      </c>
      <c r="BF84" s="31" t="str">
        <f t="shared" si="33"/>
        <v/>
      </c>
      <c r="BG84" s="31" t="str">
        <f t="shared" si="34"/>
        <v/>
      </c>
      <c r="BH84" s="31" t="str">
        <f t="shared" si="35"/>
        <v/>
      </c>
      <c r="BI84" s="31" t="str">
        <f t="shared" si="36"/>
        <v>Y</v>
      </c>
      <c r="BJ84" s="30" t="str">
        <f t="shared" si="37"/>
        <v/>
      </c>
      <c r="BK84" s="31" t="str">
        <f t="shared" si="38"/>
        <v>Y</v>
      </c>
      <c r="BL84" s="30" t="str">
        <f t="shared" si="39"/>
        <v/>
      </c>
      <c r="BM84" s="31" t="str">
        <f t="shared" si="40"/>
        <v/>
      </c>
      <c r="BN84" s="31" t="str">
        <f t="shared" si="41"/>
        <v/>
      </c>
      <c r="BO84" s="31" t="str">
        <f t="shared" si="42"/>
        <v/>
      </c>
      <c r="BP84" s="31" t="str">
        <f t="shared" si="43"/>
        <v/>
      </c>
      <c r="BQ84" s="31" t="str">
        <f t="shared" si="44"/>
        <v>Y</v>
      </c>
      <c r="BR84" s="31" t="str">
        <f t="shared" si="45"/>
        <v/>
      </c>
      <c r="BS84" s="31" t="str">
        <f t="shared" si="46"/>
        <v>Y</v>
      </c>
      <c r="BT84" s="31" t="str">
        <f t="shared" si="47"/>
        <v/>
      </c>
      <c r="BU84" s="30" t="str">
        <f t="shared" si="48"/>
        <v/>
      </c>
      <c r="BV84" s="39" t="str">
        <f t="shared" si="49"/>
        <v>Y</v>
      </c>
      <c r="BW84" s="3" t="s">
        <v>531</v>
      </c>
    </row>
    <row r="85" spans="1:75" x14ac:dyDescent="0.35">
      <c r="A85" s="11" t="s">
        <v>230</v>
      </c>
      <c r="B85" s="3" t="s">
        <v>18</v>
      </c>
      <c r="C85" s="12" t="s">
        <v>7</v>
      </c>
      <c r="D85" s="59"/>
      <c r="E85" s="13"/>
      <c r="F85" s="13"/>
      <c r="G85" s="13"/>
      <c r="H85" s="13"/>
      <c r="I85" s="13"/>
      <c r="J85" s="13"/>
      <c r="K85" s="13"/>
      <c r="L85" s="13"/>
      <c r="N85" s="13"/>
      <c r="Q85" s="13"/>
      <c r="R85" s="13"/>
      <c r="S85" s="13"/>
      <c r="V85" s="13"/>
      <c r="W85" s="13"/>
      <c r="X85" s="13"/>
      <c r="Y85" s="13"/>
      <c r="Z85" s="13"/>
      <c r="AA85" s="13"/>
      <c r="AB85" s="13"/>
      <c r="AD85" s="13"/>
      <c r="AE85" s="13"/>
      <c r="AF85" s="13"/>
      <c r="AG85" s="13"/>
      <c r="AH85" s="12"/>
      <c r="AI85" s="13"/>
      <c r="AJ85" s="14"/>
      <c r="AK85" s="13" t="s">
        <v>7</v>
      </c>
      <c r="AL85" s="13"/>
      <c r="AM85" s="15"/>
      <c r="AN85" s="149"/>
      <c r="AO85" s="14"/>
      <c r="AP85" s="14"/>
      <c r="AQ85" s="14" t="s">
        <v>7</v>
      </c>
      <c r="AR85" s="14"/>
      <c r="AS85" s="15"/>
      <c r="AT85" s="14" t="s">
        <v>7</v>
      </c>
      <c r="AU85" s="14"/>
      <c r="AV85" s="14"/>
      <c r="AW85" s="14"/>
      <c r="AX85" s="14"/>
      <c r="AY85" s="14"/>
      <c r="AZ85" s="14"/>
      <c r="BC85" s="31" t="str">
        <f t="shared" si="30"/>
        <v/>
      </c>
      <c r="BD85" s="31" t="str">
        <f t="shared" si="31"/>
        <v/>
      </c>
      <c r="BE85" s="31" t="str">
        <f t="shared" si="32"/>
        <v/>
      </c>
      <c r="BF85" s="31" t="str">
        <f t="shared" si="33"/>
        <v/>
      </c>
      <c r="BG85" s="31" t="str">
        <f t="shared" si="34"/>
        <v>Y</v>
      </c>
      <c r="BH85" s="31" t="str">
        <f t="shared" si="35"/>
        <v/>
      </c>
      <c r="BI85" s="31" t="str">
        <f t="shared" si="36"/>
        <v/>
      </c>
      <c r="BJ85" s="30" t="str">
        <f t="shared" si="37"/>
        <v/>
      </c>
      <c r="BK85" s="31" t="str">
        <f t="shared" si="38"/>
        <v>Y</v>
      </c>
      <c r="BL85" s="30" t="str">
        <f t="shared" si="39"/>
        <v/>
      </c>
      <c r="BM85" s="31" t="str">
        <f t="shared" si="40"/>
        <v/>
      </c>
      <c r="BN85" s="31" t="str">
        <f t="shared" si="41"/>
        <v/>
      </c>
      <c r="BO85" s="31" t="str">
        <f t="shared" si="42"/>
        <v>Y</v>
      </c>
      <c r="BP85" s="31" t="str">
        <f t="shared" si="43"/>
        <v/>
      </c>
      <c r="BQ85" s="31" t="str">
        <f t="shared" si="44"/>
        <v/>
      </c>
      <c r="BR85" s="31" t="str">
        <f t="shared" si="45"/>
        <v/>
      </c>
      <c r="BS85" s="31" t="str">
        <f t="shared" si="46"/>
        <v/>
      </c>
      <c r="BT85" s="31" t="str">
        <f t="shared" si="47"/>
        <v/>
      </c>
      <c r="BU85" s="30" t="str">
        <f t="shared" si="48"/>
        <v>Y</v>
      </c>
      <c r="BV85" s="39" t="str">
        <f t="shared" si="49"/>
        <v/>
      </c>
      <c r="BW85" s="3" t="s">
        <v>235</v>
      </c>
    </row>
    <row r="86" spans="1:75" x14ac:dyDescent="0.35">
      <c r="A86" s="11" t="s">
        <v>88</v>
      </c>
      <c r="B86" s="3" t="s">
        <v>46</v>
      </c>
      <c r="C86" s="12" t="s">
        <v>7</v>
      </c>
      <c r="D86" s="59"/>
      <c r="E86" s="13"/>
      <c r="F86" s="13"/>
      <c r="G86" s="13"/>
      <c r="H86" s="13"/>
      <c r="I86" s="13"/>
      <c r="J86" s="13"/>
      <c r="K86" s="13"/>
      <c r="L86" s="13"/>
      <c r="N86" s="13"/>
      <c r="Q86" s="13"/>
      <c r="R86" s="13"/>
      <c r="S86" s="13"/>
      <c r="V86" s="13"/>
      <c r="W86" s="13"/>
      <c r="X86" s="13"/>
      <c r="Y86" s="13"/>
      <c r="Z86" s="13"/>
      <c r="AA86" s="13"/>
      <c r="AB86" s="13"/>
      <c r="AD86" s="13"/>
      <c r="AE86" s="13"/>
      <c r="AF86" s="13"/>
      <c r="AG86" s="13"/>
      <c r="AH86" s="12"/>
      <c r="AI86" s="13"/>
      <c r="AJ86" s="14"/>
      <c r="AK86" s="13" t="s">
        <v>7</v>
      </c>
      <c r="AL86" s="13"/>
      <c r="AM86" s="15"/>
      <c r="AN86" s="149"/>
      <c r="AO86" s="14"/>
      <c r="AP86" s="14"/>
      <c r="AQ86" s="14" t="s">
        <v>7</v>
      </c>
      <c r="AR86" s="14"/>
      <c r="AS86" s="15"/>
      <c r="AT86" s="14"/>
      <c r="AV86" s="14"/>
      <c r="AW86" s="14"/>
      <c r="AX86" s="14"/>
      <c r="AY86" s="14"/>
      <c r="AZ86" s="14" t="s">
        <v>7</v>
      </c>
      <c r="BC86" s="31" t="str">
        <f t="shared" si="30"/>
        <v/>
      </c>
      <c r="BD86" s="31" t="str">
        <f t="shared" si="31"/>
        <v/>
      </c>
      <c r="BE86" s="31" t="str">
        <f t="shared" si="32"/>
        <v/>
      </c>
      <c r="BF86" s="31" t="str">
        <f t="shared" si="33"/>
        <v/>
      </c>
      <c r="BG86" s="31" t="str">
        <f t="shared" si="34"/>
        <v>Y</v>
      </c>
      <c r="BH86" s="31" t="str">
        <f t="shared" si="35"/>
        <v/>
      </c>
      <c r="BI86" s="31" t="str">
        <f t="shared" si="36"/>
        <v/>
      </c>
      <c r="BJ86" s="30" t="str">
        <f t="shared" si="37"/>
        <v/>
      </c>
      <c r="BK86" s="31" t="str">
        <f t="shared" si="38"/>
        <v>Y</v>
      </c>
      <c r="BL86" s="30" t="str">
        <f t="shared" si="39"/>
        <v/>
      </c>
      <c r="BM86" s="31" t="str">
        <f t="shared" si="40"/>
        <v/>
      </c>
      <c r="BN86" s="31" t="str">
        <f t="shared" si="41"/>
        <v/>
      </c>
      <c r="BO86" s="31" t="str">
        <f t="shared" si="42"/>
        <v>Y</v>
      </c>
      <c r="BP86" s="31" t="str">
        <f t="shared" si="43"/>
        <v/>
      </c>
      <c r="BQ86" s="31" t="str">
        <f t="shared" si="44"/>
        <v/>
      </c>
      <c r="BR86" s="31" t="str">
        <f t="shared" si="45"/>
        <v/>
      </c>
      <c r="BS86" s="31" t="str">
        <f t="shared" si="46"/>
        <v/>
      </c>
      <c r="BT86" s="31" t="str">
        <f t="shared" si="47"/>
        <v/>
      </c>
      <c r="BU86" s="30" t="str">
        <f t="shared" si="48"/>
        <v>Y</v>
      </c>
      <c r="BV86" s="39" t="str">
        <f t="shared" si="49"/>
        <v/>
      </c>
      <c r="BW86" s="3" t="s">
        <v>281</v>
      </c>
    </row>
    <row r="87" spans="1:75" x14ac:dyDescent="0.35">
      <c r="A87" s="11" t="s">
        <v>89</v>
      </c>
      <c r="B87" s="3" t="s">
        <v>18</v>
      </c>
      <c r="C87" s="12"/>
      <c r="D87" s="59"/>
      <c r="E87" s="13"/>
      <c r="F87" s="13"/>
      <c r="G87" s="13"/>
      <c r="H87" s="13" t="s">
        <v>7</v>
      </c>
      <c r="I87" s="13"/>
      <c r="J87" s="13"/>
      <c r="K87" s="13"/>
      <c r="L87" s="13"/>
      <c r="N87" s="13"/>
      <c r="Q87" s="13"/>
      <c r="R87" s="13"/>
      <c r="S87" s="13"/>
      <c r="V87" s="13"/>
      <c r="W87" s="13"/>
      <c r="X87" s="13"/>
      <c r="Y87" s="13"/>
      <c r="Z87" s="13"/>
      <c r="AA87" s="13"/>
      <c r="AB87" s="13"/>
      <c r="AD87" s="13"/>
      <c r="AE87" s="13"/>
      <c r="AF87" s="13"/>
      <c r="AG87" s="13"/>
      <c r="AH87" s="12"/>
      <c r="AI87" s="13"/>
      <c r="AJ87" s="14"/>
      <c r="AK87" s="13" t="s">
        <v>7</v>
      </c>
      <c r="AL87" s="13"/>
      <c r="AM87" s="15"/>
      <c r="AN87" s="149"/>
      <c r="AO87" s="14"/>
      <c r="AP87" s="14"/>
      <c r="AQ87" s="14" t="s">
        <v>7</v>
      </c>
      <c r="AR87" s="14"/>
      <c r="AS87" s="15"/>
      <c r="AT87" s="14" t="s">
        <v>7</v>
      </c>
      <c r="AU87" s="14"/>
      <c r="AV87" s="14"/>
      <c r="AW87" s="14"/>
      <c r="AX87" s="14"/>
      <c r="AY87" s="14"/>
      <c r="AZ87" s="14"/>
      <c r="BC87" s="31" t="str">
        <f t="shared" si="30"/>
        <v/>
      </c>
      <c r="BD87" s="31" t="str">
        <f t="shared" si="31"/>
        <v/>
      </c>
      <c r="BE87" s="31" t="str">
        <f t="shared" si="32"/>
        <v/>
      </c>
      <c r="BF87" s="31" t="str">
        <f t="shared" si="33"/>
        <v/>
      </c>
      <c r="BG87" s="31" t="str">
        <f t="shared" si="34"/>
        <v/>
      </c>
      <c r="BH87" s="31" t="str">
        <f t="shared" si="35"/>
        <v/>
      </c>
      <c r="BI87" s="31" t="str">
        <f t="shared" si="36"/>
        <v>Y</v>
      </c>
      <c r="BJ87" s="30" t="str">
        <f t="shared" si="37"/>
        <v/>
      </c>
      <c r="BK87" s="31" t="str">
        <f t="shared" si="38"/>
        <v>Y</v>
      </c>
      <c r="BL87" s="30" t="str">
        <f t="shared" si="39"/>
        <v/>
      </c>
      <c r="BM87" s="31" t="str">
        <f t="shared" si="40"/>
        <v/>
      </c>
      <c r="BN87" s="31" t="str">
        <f t="shared" si="41"/>
        <v/>
      </c>
      <c r="BO87" s="31" t="str">
        <f t="shared" si="42"/>
        <v/>
      </c>
      <c r="BP87" s="31" t="str">
        <f t="shared" si="43"/>
        <v/>
      </c>
      <c r="BQ87" s="31" t="str">
        <f t="shared" si="44"/>
        <v/>
      </c>
      <c r="BR87" s="31" t="str">
        <f t="shared" si="45"/>
        <v/>
      </c>
      <c r="BS87" s="31" t="str">
        <f t="shared" si="46"/>
        <v>Y</v>
      </c>
      <c r="BT87" s="31" t="str">
        <f t="shared" si="47"/>
        <v/>
      </c>
      <c r="BU87" s="30" t="str">
        <f t="shared" si="48"/>
        <v/>
      </c>
      <c r="BV87" s="39" t="str">
        <f t="shared" si="49"/>
        <v>Y</v>
      </c>
      <c r="BW87" s="3" t="s">
        <v>235</v>
      </c>
    </row>
    <row r="88" spans="1:75" x14ac:dyDescent="0.35">
      <c r="A88" s="11" t="s">
        <v>90</v>
      </c>
      <c r="B88" s="3" t="s">
        <v>12</v>
      </c>
      <c r="C88" s="12"/>
      <c r="D88" s="59"/>
      <c r="E88" s="13"/>
      <c r="F88" s="13"/>
      <c r="G88" s="13"/>
      <c r="H88" s="13"/>
      <c r="I88" s="13"/>
      <c r="J88" s="13"/>
      <c r="K88" s="13"/>
      <c r="L88" s="13"/>
      <c r="N88" s="13"/>
      <c r="Q88" s="13"/>
      <c r="R88" s="13"/>
      <c r="S88" s="13"/>
      <c r="T88" s="28" t="s">
        <v>7</v>
      </c>
      <c r="V88" s="13"/>
      <c r="W88" s="13"/>
      <c r="X88" s="13"/>
      <c r="Y88" s="13"/>
      <c r="Z88" s="13"/>
      <c r="AA88" s="13"/>
      <c r="AB88" s="13"/>
      <c r="AD88" s="13"/>
      <c r="AE88" s="13"/>
      <c r="AF88" s="13"/>
      <c r="AG88" s="13"/>
      <c r="AH88" s="12"/>
      <c r="AI88" s="13"/>
      <c r="AJ88" s="14"/>
      <c r="AK88" s="13" t="s">
        <v>7</v>
      </c>
      <c r="AL88" s="13"/>
      <c r="AM88" s="15"/>
      <c r="AN88" s="149"/>
      <c r="AO88" s="14"/>
      <c r="AP88" s="14"/>
      <c r="AQ88" s="14"/>
      <c r="AR88" s="14" t="s">
        <v>7</v>
      </c>
      <c r="AS88" s="15" t="s">
        <v>7</v>
      </c>
      <c r="AT88" s="14"/>
      <c r="AU88" s="14"/>
      <c r="AV88" s="14"/>
      <c r="AW88" s="14"/>
      <c r="AX88" s="14"/>
      <c r="AY88" s="14"/>
      <c r="AZ88" s="14"/>
      <c r="BC88" s="31" t="str">
        <f t="shared" si="30"/>
        <v/>
      </c>
      <c r="BD88" s="31" t="str">
        <f t="shared" si="31"/>
        <v/>
      </c>
      <c r="BE88" s="31" t="str">
        <f t="shared" si="32"/>
        <v/>
      </c>
      <c r="BF88" s="31" t="str">
        <f t="shared" si="33"/>
        <v/>
      </c>
      <c r="BG88" s="31" t="str">
        <f t="shared" si="34"/>
        <v/>
      </c>
      <c r="BH88" s="31" t="str">
        <f t="shared" si="35"/>
        <v/>
      </c>
      <c r="BI88" s="31" t="str">
        <f t="shared" si="36"/>
        <v>Y</v>
      </c>
      <c r="BJ88" s="30" t="str">
        <f t="shared" si="37"/>
        <v/>
      </c>
      <c r="BK88" s="31" t="str">
        <f t="shared" si="38"/>
        <v>Y</v>
      </c>
      <c r="BL88" s="30" t="str">
        <f t="shared" si="39"/>
        <v/>
      </c>
      <c r="BM88" s="31" t="str">
        <f t="shared" si="40"/>
        <v/>
      </c>
      <c r="BN88" s="31" t="str">
        <f t="shared" si="41"/>
        <v/>
      </c>
      <c r="BO88" s="31" t="str">
        <f t="shared" si="42"/>
        <v/>
      </c>
      <c r="BP88" s="31" t="str">
        <f t="shared" si="43"/>
        <v/>
      </c>
      <c r="BQ88" s="31" t="str">
        <f t="shared" si="44"/>
        <v>Y</v>
      </c>
      <c r="BR88" s="31" t="str">
        <f t="shared" si="45"/>
        <v/>
      </c>
      <c r="BS88" s="31" t="str">
        <f t="shared" si="46"/>
        <v/>
      </c>
      <c r="BT88" s="31" t="str">
        <f t="shared" si="47"/>
        <v/>
      </c>
      <c r="BU88" s="30" t="str">
        <f t="shared" si="48"/>
        <v/>
      </c>
      <c r="BV88" s="39" t="str">
        <f t="shared" si="49"/>
        <v>Y</v>
      </c>
      <c r="BW88" s="3" t="s">
        <v>183</v>
      </c>
    </row>
    <row r="89" spans="1:75" x14ac:dyDescent="0.35">
      <c r="A89" s="29" t="s">
        <v>448</v>
      </c>
      <c r="B89" s="27" t="s">
        <v>12</v>
      </c>
      <c r="C89" s="57" t="s">
        <v>7</v>
      </c>
      <c r="D89" s="28"/>
      <c r="E89" s="28" t="s">
        <v>7</v>
      </c>
      <c r="G89" s="28" t="s">
        <v>7</v>
      </c>
      <c r="H89" s="28"/>
      <c r="I89" s="28"/>
      <c r="J89" s="28"/>
      <c r="M89" s="28"/>
      <c r="O89" s="28"/>
      <c r="P89" s="28"/>
      <c r="AC89" s="28"/>
      <c r="AH89" s="57"/>
      <c r="AI89" s="28"/>
      <c r="AJ89" s="31"/>
      <c r="AK89" s="28" t="s">
        <v>7</v>
      </c>
      <c r="AL89" s="28" t="s">
        <v>7</v>
      </c>
      <c r="AN89" s="31"/>
      <c r="AR89" s="31" t="s">
        <v>7</v>
      </c>
      <c r="AS89" s="30" t="s">
        <v>7</v>
      </c>
      <c r="BC89" s="31" t="str">
        <f t="shared" si="30"/>
        <v/>
      </c>
      <c r="BD89" s="31" t="str">
        <f t="shared" si="31"/>
        <v/>
      </c>
      <c r="BE89" s="31" t="str">
        <f t="shared" si="32"/>
        <v/>
      </c>
      <c r="BF89" s="31" t="str">
        <f t="shared" si="33"/>
        <v/>
      </c>
      <c r="BG89" s="31" t="str">
        <f t="shared" si="34"/>
        <v>Y</v>
      </c>
      <c r="BH89" s="31" t="str">
        <f t="shared" si="35"/>
        <v>Y</v>
      </c>
      <c r="BI89" s="31" t="str">
        <f t="shared" si="36"/>
        <v>Y</v>
      </c>
      <c r="BJ89" s="30" t="str">
        <f t="shared" si="37"/>
        <v/>
      </c>
      <c r="BK89" s="31" t="str">
        <f t="shared" si="38"/>
        <v>Y</v>
      </c>
      <c r="BL89" s="30" t="str">
        <f t="shared" si="39"/>
        <v/>
      </c>
      <c r="BM89" s="31" t="str">
        <f t="shared" si="40"/>
        <v/>
      </c>
      <c r="BN89" s="31" t="str">
        <f t="shared" si="41"/>
        <v>Y</v>
      </c>
      <c r="BO89" s="31" t="str">
        <f t="shared" si="42"/>
        <v>Y</v>
      </c>
      <c r="BP89" s="31" t="str">
        <f t="shared" si="43"/>
        <v/>
      </c>
      <c r="BQ89" s="31" t="str">
        <f t="shared" si="44"/>
        <v>Y</v>
      </c>
      <c r="BR89" s="31" t="str">
        <f t="shared" si="45"/>
        <v/>
      </c>
      <c r="BS89" s="31" t="str">
        <f t="shared" si="46"/>
        <v/>
      </c>
      <c r="BT89" s="31" t="str">
        <f t="shared" si="47"/>
        <v/>
      </c>
      <c r="BU89" s="30" t="str">
        <f t="shared" si="48"/>
        <v>Y</v>
      </c>
      <c r="BV89" s="39" t="str">
        <f t="shared" si="49"/>
        <v>Y</v>
      </c>
      <c r="BW89" s="154" t="s">
        <v>449</v>
      </c>
    </row>
    <row r="90" spans="1:75" x14ac:dyDescent="0.35">
      <c r="A90" s="11" t="s">
        <v>91</v>
      </c>
      <c r="B90" s="3" t="s">
        <v>231</v>
      </c>
      <c r="C90" s="12" t="s">
        <v>7</v>
      </c>
      <c r="D90" s="59"/>
      <c r="E90" s="13"/>
      <c r="F90" s="13"/>
      <c r="G90" s="13" t="s">
        <v>7</v>
      </c>
      <c r="H90" s="13"/>
      <c r="I90" s="13"/>
      <c r="J90" s="13"/>
      <c r="K90" s="13"/>
      <c r="L90" s="13" t="s">
        <v>7</v>
      </c>
      <c r="N90" s="13"/>
      <c r="Q90" s="13"/>
      <c r="R90" s="13"/>
      <c r="S90" s="13"/>
      <c r="V90" s="13"/>
      <c r="W90" s="13"/>
      <c r="X90" s="13"/>
      <c r="Y90" s="13"/>
      <c r="Z90" s="13"/>
      <c r="AA90" s="13"/>
      <c r="AB90" s="13"/>
      <c r="AD90" s="13"/>
      <c r="AE90" s="13"/>
      <c r="AF90" s="13"/>
      <c r="AG90" s="13"/>
      <c r="AH90" s="12"/>
      <c r="AI90" s="13"/>
      <c r="AJ90" s="14"/>
      <c r="AK90" s="13" t="s">
        <v>7</v>
      </c>
      <c r="AL90" s="13" t="s">
        <v>7</v>
      </c>
      <c r="AM90" s="15"/>
      <c r="AN90" s="149"/>
      <c r="AO90" s="14"/>
      <c r="AP90" s="14"/>
      <c r="AQ90" s="14" t="s">
        <v>7</v>
      </c>
      <c r="AR90" s="14"/>
      <c r="AS90" s="15"/>
      <c r="AT90" s="14"/>
      <c r="AU90" s="14"/>
      <c r="AV90" s="14" t="s">
        <v>7</v>
      </c>
      <c r="AW90" s="14"/>
      <c r="AX90" s="14"/>
      <c r="AY90" s="14"/>
      <c r="AZ90" s="14"/>
      <c r="BC90" s="31" t="str">
        <f t="shared" si="30"/>
        <v/>
      </c>
      <c r="BD90" s="31" t="str">
        <f t="shared" si="31"/>
        <v/>
      </c>
      <c r="BE90" s="31" t="str">
        <f t="shared" si="32"/>
        <v/>
      </c>
      <c r="BF90" s="31" t="str">
        <f t="shared" si="33"/>
        <v/>
      </c>
      <c r="BG90" s="31" t="str">
        <f t="shared" si="34"/>
        <v>Y</v>
      </c>
      <c r="BH90" s="31" t="str">
        <f t="shared" si="35"/>
        <v/>
      </c>
      <c r="BI90" s="31" t="str">
        <f t="shared" si="36"/>
        <v>Y</v>
      </c>
      <c r="BJ90" s="30" t="str">
        <f t="shared" si="37"/>
        <v/>
      </c>
      <c r="BK90" s="31" t="str">
        <f t="shared" si="38"/>
        <v>Y</v>
      </c>
      <c r="BL90" s="30" t="str">
        <f t="shared" si="39"/>
        <v/>
      </c>
      <c r="BM90" s="31" t="str">
        <f t="shared" si="40"/>
        <v/>
      </c>
      <c r="BN90" s="31" t="str">
        <f t="shared" si="41"/>
        <v>Y</v>
      </c>
      <c r="BO90" s="31" t="str">
        <f t="shared" si="42"/>
        <v>Y</v>
      </c>
      <c r="BP90" s="31" t="str">
        <f t="shared" si="43"/>
        <v/>
      </c>
      <c r="BQ90" s="31" t="str">
        <f t="shared" si="44"/>
        <v>Y</v>
      </c>
      <c r="BR90" s="31" t="str">
        <f t="shared" si="45"/>
        <v/>
      </c>
      <c r="BS90" s="31" t="str">
        <f t="shared" si="46"/>
        <v/>
      </c>
      <c r="BT90" s="31" t="str">
        <f t="shared" si="47"/>
        <v/>
      </c>
      <c r="BU90" s="30" t="str">
        <f t="shared" si="48"/>
        <v>Y</v>
      </c>
      <c r="BV90" s="39" t="str">
        <f t="shared" si="49"/>
        <v>Y</v>
      </c>
      <c r="BW90" s="3" t="s">
        <v>243</v>
      </c>
    </row>
    <row r="91" spans="1:75" x14ac:dyDescent="0.35">
      <c r="A91" s="11" t="s">
        <v>258</v>
      </c>
      <c r="B91" s="3" t="s">
        <v>12</v>
      </c>
      <c r="C91" s="12"/>
      <c r="D91" s="59"/>
      <c r="E91" s="13"/>
      <c r="F91" s="13"/>
      <c r="G91" s="13"/>
      <c r="H91" s="13"/>
      <c r="I91" s="13"/>
      <c r="J91" s="13"/>
      <c r="K91" s="13"/>
      <c r="L91" s="13"/>
      <c r="N91" s="13"/>
      <c r="Q91" s="13"/>
      <c r="R91" s="13"/>
      <c r="S91" s="13"/>
      <c r="T91" s="28" t="s">
        <v>7</v>
      </c>
      <c r="V91" s="13"/>
      <c r="W91" s="13"/>
      <c r="X91" s="13"/>
      <c r="Y91" s="13"/>
      <c r="Z91" s="13"/>
      <c r="AA91" s="13"/>
      <c r="AB91" s="13"/>
      <c r="AD91" s="13"/>
      <c r="AE91" s="13"/>
      <c r="AF91" s="13"/>
      <c r="AG91" s="13"/>
      <c r="AH91" s="12"/>
      <c r="AI91" s="13"/>
      <c r="AJ91" s="14"/>
      <c r="AK91" s="13" t="s">
        <v>7</v>
      </c>
      <c r="AL91" s="13"/>
      <c r="AM91" s="15"/>
      <c r="AN91" s="149"/>
      <c r="AO91" s="14"/>
      <c r="AP91" s="14"/>
      <c r="AQ91" s="14"/>
      <c r="AR91" s="14" t="s">
        <v>7</v>
      </c>
      <c r="AS91" s="15" t="s">
        <v>7</v>
      </c>
      <c r="AT91" s="14"/>
      <c r="AU91" s="14"/>
      <c r="AV91" s="14"/>
      <c r="AW91" s="14"/>
      <c r="AX91" s="14"/>
      <c r="AY91" s="14"/>
      <c r="AZ91" s="14"/>
      <c r="BC91" s="31" t="str">
        <f t="shared" si="30"/>
        <v/>
      </c>
      <c r="BD91" s="31" t="str">
        <f t="shared" si="31"/>
        <v/>
      </c>
      <c r="BE91" s="31" t="str">
        <f t="shared" si="32"/>
        <v/>
      </c>
      <c r="BF91" s="31" t="str">
        <f t="shared" si="33"/>
        <v/>
      </c>
      <c r="BG91" s="31" t="str">
        <f t="shared" si="34"/>
        <v/>
      </c>
      <c r="BH91" s="31" t="str">
        <f t="shared" si="35"/>
        <v/>
      </c>
      <c r="BI91" s="31" t="str">
        <f t="shared" si="36"/>
        <v>Y</v>
      </c>
      <c r="BJ91" s="30" t="str">
        <f t="shared" si="37"/>
        <v/>
      </c>
      <c r="BK91" s="31" t="str">
        <f t="shared" si="38"/>
        <v>Y</v>
      </c>
      <c r="BL91" s="30" t="str">
        <f t="shared" si="39"/>
        <v/>
      </c>
      <c r="BM91" s="31" t="str">
        <f t="shared" si="40"/>
        <v/>
      </c>
      <c r="BN91" s="31" t="str">
        <f t="shared" si="41"/>
        <v/>
      </c>
      <c r="BO91" s="31" t="str">
        <f t="shared" si="42"/>
        <v/>
      </c>
      <c r="BP91" s="31" t="str">
        <f t="shared" si="43"/>
        <v/>
      </c>
      <c r="BQ91" s="31" t="str">
        <f t="shared" si="44"/>
        <v>Y</v>
      </c>
      <c r="BR91" s="31" t="str">
        <f t="shared" si="45"/>
        <v/>
      </c>
      <c r="BS91" s="31" t="str">
        <f t="shared" si="46"/>
        <v/>
      </c>
      <c r="BT91" s="31" t="str">
        <f t="shared" si="47"/>
        <v/>
      </c>
      <c r="BU91" s="30" t="str">
        <f t="shared" si="48"/>
        <v/>
      </c>
      <c r="BV91" s="39" t="str">
        <f t="shared" si="49"/>
        <v>Y</v>
      </c>
      <c r="BW91" s="3" t="s">
        <v>265</v>
      </c>
    </row>
    <row r="92" spans="1:75" x14ac:dyDescent="0.35">
      <c r="A92" s="11" t="s">
        <v>264</v>
      </c>
      <c r="B92" s="3" t="s">
        <v>30</v>
      </c>
      <c r="C92" s="12"/>
      <c r="D92" s="59"/>
      <c r="E92" s="13"/>
      <c r="F92" s="13"/>
      <c r="G92" s="13"/>
      <c r="H92" s="13"/>
      <c r="I92" s="13"/>
      <c r="J92" s="13"/>
      <c r="K92" s="13"/>
      <c r="L92" s="13"/>
      <c r="N92" s="13"/>
      <c r="O92" s="13" t="s">
        <v>7</v>
      </c>
      <c r="Q92" s="13"/>
      <c r="R92" s="13"/>
      <c r="S92" s="13"/>
      <c r="V92" s="13"/>
      <c r="W92" s="13"/>
      <c r="X92" s="13"/>
      <c r="Y92" s="13"/>
      <c r="Z92" s="13"/>
      <c r="AA92" s="13"/>
      <c r="AB92" s="13"/>
      <c r="AD92" s="13"/>
      <c r="AE92" s="13"/>
      <c r="AF92" s="13"/>
      <c r="AG92" s="13"/>
      <c r="AH92" s="12"/>
      <c r="AI92" s="13"/>
      <c r="AJ92" s="14"/>
      <c r="AK92" s="13" t="s">
        <v>7</v>
      </c>
      <c r="AL92" s="13"/>
      <c r="AM92" s="15"/>
      <c r="AN92" s="149"/>
      <c r="AO92" s="14"/>
      <c r="AP92" s="14"/>
      <c r="AQ92" s="14" t="s">
        <v>7</v>
      </c>
      <c r="AR92" s="14"/>
      <c r="AS92" s="15"/>
      <c r="AT92" s="14"/>
      <c r="AU92" s="14"/>
      <c r="AV92" s="14" t="s">
        <v>7</v>
      </c>
      <c r="AW92" s="14"/>
      <c r="AX92" s="14"/>
      <c r="AY92" s="14"/>
      <c r="AZ92" s="14"/>
      <c r="BC92" s="31" t="str">
        <f t="shared" si="30"/>
        <v/>
      </c>
      <c r="BD92" s="31" t="str">
        <f t="shared" si="31"/>
        <v/>
      </c>
      <c r="BE92" s="31" t="str">
        <f t="shared" si="32"/>
        <v/>
      </c>
      <c r="BF92" s="31" t="str">
        <f t="shared" si="33"/>
        <v/>
      </c>
      <c r="BG92" s="31" t="str">
        <f t="shared" si="34"/>
        <v/>
      </c>
      <c r="BH92" s="31" t="str">
        <f t="shared" si="35"/>
        <v/>
      </c>
      <c r="BI92" s="31" t="str">
        <f t="shared" si="36"/>
        <v>Y</v>
      </c>
      <c r="BJ92" s="30" t="str">
        <f t="shared" si="37"/>
        <v/>
      </c>
      <c r="BK92" s="31" t="str">
        <f t="shared" si="38"/>
        <v>Y</v>
      </c>
      <c r="BL92" s="30" t="str">
        <f t="shared" si="39"/>
        <v/>
      </c>
      <c r="BM92" s="31" t="str">
        <f t="shared" si="40"/>
        <v/>
      </c>
      <c r="BN92" s="31" t="str">
        <f t="shared" si="41"/>
        <v/>
      </c>
      <c r="BO92" s="31" t="str">
        <f t="shared" si="42"/>
        <v/>
      </c>
      <c r="BP92" s="31" t="str">
        <f t="shared" si="43"/>
        <v/>
      </c>
      <c r="BQ92" s="31" t="str">
        <f t="shared" si="44"/>
        <v/>
      </c>
      <c r="BR92" s="31" t="str">
        <f t="shared" si="45"/>
        <v>Y</v>
      </c>
      <c r="BS92" s="31" t="str">
        <f t="shared" si="46"/>
        <v/>
      </c>
      <c r="BT92" s="31" t="str">
        <f t="shared" si="47"/>
        <v/>
      </c>
      <c r="BU92" s="30" t="str">
        <f t="shared" si="48"/>
        <v/>
      </c>
      <c r="BV92" s="39" t="str">
        <f t="shared" si="49"/>
        <v>Y</v>
      </c>
      <c r="BW92" s="3" t="s">
        <v>270</v>
      </c>
    </row>
    <row r="93" spans="1:75" x14ac:dyDescent="0.35">
      <c r="A93" s="11" t="s">
        <v>219</v>
      </c>
      <c r="B93" s="3" t="s">
        <v>14</v>
      </c>
      <c r="C93" s="12"/>
      <c r="D93" s="59"/>
      <c r="E93" s="13"/>
      <c r="F93" s="13"/>
      <c r="G93" s="13"/>
      <c r="H93" s="13"/>
      <c r="I93" s="13"/>
      <c r="J93" s="13"/>
      <c r="K93" s="13"/>
      <c r="L93" s="13"/>
      <c r="N93" s="13"/>
      <c r="Q93" s="13"/>
      <c r="R93" s="13"/>
      <c r="S93" s="13"/>
      <c r="V93" s="13" t="s">
        <v>7</v>
      </c>
      <c r="W93" s="13"/>
      <c r="X93" s="13"/>
      <c r="Y93" s="13"/>
      <c r="Z93" s="13"/>
      <c r="AA93" s="13"/>
      <c r="AB93" s="13"/>
      <c r="AD93" s="13"/>
      <c r="AE93" s="13"/>
      <c r="AF93" s="13"/>
      <c r="AG93" s="13"/>
      <c r="AH93" s="12"/>
      <c r="AI93" s="13"/>
      <c r="AJ93" s="14"/>
      <c r="AK93" s="13"/>
      <c r="AL93" s="13" t="s">
        <v>7</v>
      </c>
      <c r="AM93" s="15"/>
      <c r="AN93" s="149" t="s">
        <v>7</v>
      </c>
      <c r="AO93" s="14"/>
      <c r="AP93" s="14"/>
      <c r="AQ93" s="14"/>
      <c r="AR93" s="14"/>
      <c r="AS93" s="15"/>
      <c r="AT93" s="14"/>
      <c r="AU93" s="14"/>
      <c r="AV93" s="14"/>
      <c r="AW93" s="14"/>
      <c r="AX93" s="14"/>
      <c r="AY93" s="14" t="s">
        <v>7</v>
      </c>
      <c r="AZ93" s="14"/>
      <c r="BC93" s="31" t="str">
        <f t="shared" si="30"/>
        <v/>
      </c>
      <c r="BD93" s="31" t="str">
        <f t="shared" si="31"/>
        <v/>
      </c>
      <c r="BE93" s="31" t="str">
        <f t="shared" si="32"/>
        <v/>
      </c>
      <c r="BF93" s="31" t="str">
        <f t="shared" si="33"/>
        <v/>
      </c>
      <c r="BG93" s="31" t="str">
        <f t="shared" si="34"/>
        <v/>
      </c>
      <c r="BH93" s="31" t="str">
        <f t="shared" si="35"/>
        <v>Y</v>
      </c>
      <c r="BI93" s="31" t="str">
        <f t="shared" si="36"/>
        <v/>
      </c>
      <c r="BJ93" s="30" t="str">
        <f t="shared" si="37"/>
        <v/>
      </c>
      <c r="BK93" s="31" t="str">
        <f t="shared" si="38"/>
        <v>Y</v>
      </c>
      <c r="BL93" s="30" t="str">
        <f t="shared" si="39"/>
        <v/>
      </c>
      <c r="BM93" s="31" t="str">
        <f t="shared" si="40"/>
        <v/>
      </c>
      <c r="BN93" s="31" t="str">
        <f t="shared" si="41"/>
        <v/>
      </c>
      <c r="BO93" s="31" t="str">
        <f t="shared" si="42"/>
        <v/>
      </c>
      <c r="BP93" s="31" t="str">
        <f t="shared" si="43"/>
        <v/>
      </c>
      <c r="BQ93" s="31" t="str">
        <f t="shared" si="44"/>
        <v>Y</v>
      </c>
      <c r="BR93" s="31" t="str">
        <f t="shared" si="45"/>
        <v/>
      </c>
      <c r="BS93" s="31" t="str">
        <f t="shared" si="46"/>
        <v/>
      </c>
      <c r="BT93" s="31" t="str">
        <f t="shared" si="47"/>
        <v/>
      </c>
      <c r="BU93" s="30" t="str">
        <f t="shared" si="48"/>
        <v/>
      </c>
      <c r="BV93" s="39" t="str">
        <f t="shared" si="49"/>
        <v>Y</v>
      </c>
      <c r="BW93" s="3" t="s">
        <v>220</v>
      </c>
    </row>
    <row r="94" spans="1:75" ht="29" x14ac:dyDescent="0.35">
      <c r="A94" s="11" t="s">
        <v>92</v>
      </c>
      <c r="B94" s="3" t="s">
        <v>18</v>
      </c>
      <c r="C94" s="12"/>
      <c r="D94" s="59"/>
      <c r="E94" s="13"/>
      <c r="F94" s="13" t="s">
        <v>7</v>
      </c>
      <c r="G94" s="13"/>
      <c r="H94" s="13"/>
      <c r="I94" s="13"/>
      <c r="J94" s="13"/>
      <c r="K94" s="13"/>
      <c r="L94" s="13"/>
      <c r="N94" s="13"/>
      <c r="O94" s="13" t="s">
        <v>7</v>
      </c>
      <c r="Q94" s="13"/>
      <c r="R94" s="13"/>
      <c r="S94" s="13"/>
      <c r="V94" s="13"/>
      <c r="W94" s="13" t="s">
        <v>7</v>
      </c>
      <c r="X94" s="13"/>
      <c r="Y94" s="13"/>
      <c r="Z94" s="13" t="s">
        <v>7</v>
      </c>
      <c r="AA94" s="13"/>
      <c r="AB94" s="13"/>
      <c r="AD94" s="13"/>
      <c r="AE94" s="13"/>
      <c r="AF94" s="13" t="s">
        <v>7</v>
      </c>
      <c r="AG94" s="13"/>
      <c r="AH94" s="12"/>
      <c r="AI94" s="13"/>
      <c r="AJ94" s="14"/>
      <c r="AK94" s="13"/>
      <c r="AL94" s="13" t="s">
        <v>7</v>
      </c>
      <c r="AM94" s="15"/>
      <c r="AN94" s="149" t="s">
        <v>7</v>
      </c>
      <c r="AO94" s="14"/>
      <c r="AP94" s="14"/>
      <c r="AQ94" s="14"/>
      <c r="AR94" s="14"/>
      <c r="AS94" s="15"/>
      <c r="AT94" s="14" t="s">
        <v>7</v>
      </c>
      <c r="AU94" s="14"/>
      <c r="AV94" s="14"/>
      <c r="AW94" s="14"/>
      <c r="AX94" s="14"/>
      <c r="AY94" s="14"/>
      <c r="AZ94" s="14"/>
      <c r="BC94" s="31" t="str">
        <f t="shared" si="30"/>
        <v>Y</v>
      </c>
      <c r="BD94" s="31" t="str">
        <f t="shared" si="31"/>
        <v>Y</v>
      </c>
      <c r="BE94" s="31" t="str">
        <f t="shared" si="32"/>
        <v/>
      </c>
      <c r="BF94" s="31" t="str">
        <f t="shared" si="33"/>
        <v>Y</v>
      </c>
      <c r="BG94" s="31" t="str">
        <f t="shared" si="34"/>
        <v/>
      </c>
      <c r="BH94" s="31" t="str">
        <f t="shared" si="35"/>
        <v>Y</v>
      </c>
      <c r="BI94" s="31" t="str">
        <f t="shared" si="36"/>
        <v>Y</v>
      </c>
      <c r="BJ94" s="30" t="str">
        <f t="shared" si="37"/>
        <v>Y</v>
      </c>
      <c r="BK94" s="31" t="str">
        <f t="shared" si="38"/>
        <v>Y</v>
      </c>
      <c r="BL94" s="30" t="str">
        <f t="shared" si="39"/>
        <v/>
      </c>
      <c r="BM94" s="31" t="str">
        <f t="shared" si="40"/>
        <v/>
      </c>
      <c r="BN94" s="31" t="str">
        <f t="shared" si="41"/>
        <v>Y</v>
      </c>
      <c r="BO94" s="31" t="str">
        <f t="shared" si="42"/>
        <v/>
      </c>
      <c r="BP94" s="31" t="str">
        <f t="shared" si="43"/>
        <v>Y</v>
      </c>
      <c r="BQ94" s="31" t="str">
        <f t="shared" si="44"/>
        <v/>
      </c>
      <c r="BR94" s="31" t="str">
        <f t="shared" si="45"/>
        <v>Y</v>
      </c>
      <c r="BS94" s="31" t="str">
        <f t="shared" si="46"/>
        <v>Y</v>
      </c>
      <c r="BT94" s="31" t="str">
        <f t="shared" si="47"/>
        <v/>
      </c>
      <c r="BU94" s="30" t="str">
        <f t="shared" si="48"/>
        <v>Y</v>
      </c>
      <c r="BV94" s="39" t="str">
        <f t="shared" si="49"/>
        <v>Y</v>
      </c>
      <c r="BW94" s="3" t="s">
        <v>454</v>
      </c>
    </row>
    <row r="95" spans="1:75" ht="29" x14ac:dyDescent="0.35">
      <c r="A95" s="11" t="s">
        <v>93</v>
      </c>
      <c r="B95" s="3" t="s">
        <v>46</v>
      </c>
      <c r="C95" s="12"/>
      <c r="D95" s="59"/>
      <c r="E95" s="13"/>
      <c r="F95" s="13"/>
      <c r="G95" s="13"/>
      <c r="H95" s="13"/>
      <c r="I95" s="13"/>
      <c r="J95" s="13"/>
      <c r="K95" s="13"/>
      <c r="L95" s="13"/>
      <c r="N95" s="13" t="s">
        <v>7</v>
      </c>
      <c r="Q95" s="13"/>
      <c r="R95" s="13"/>
      <c r="S95" s="13"/>
      <c r="V95" s="13"/>
      <c r="W95" s="13" t="s">
        <v>7</v>
      </c>
      <c r="X95" s="13"/>
      <c r="Y95" s="13"/>
      <c r="Z95" s="13"/>
      <c r="AA95" s="13"/>
      <c r="AB95" s="13"/>
      <c r="AD95" s="13"/>
      <c r="AE95" s="13"/>
      <c r="AF95" s="13"/>
      <c r="AG95" s="13"/>
      <c r="AH95" s="12"/>
      <c r="AI95" s="13" t="s">
        <v>7</v>
      </c>
      <c r="AJ95" s="14"/>
      <c r="AK95" s="13"/>
      <c r="AL95" s="13" t="s">
        <v>7</v>
      </c>
      <c r="AM95" s="15"/>
      <c r="AN95" s="149"/>
      <c r="AO95" s="14"/>
      <c r="AP95" s="14"/>
      <c r="AQ95" s="14" t="s">
        <v>7</v>
      </c>
      <c r="AR95" s="14"/>
      <c r="AS95" s="15"/>
      <c r="AT95" s="14"/>
      <c r="AU95" s="14"/>
      <c r="AV95" s="14"/>
      <c r="AW95" s="14"/>
      <c r="AX95" s="14"/>
      <c r="AY95" s="14"/>
      <c r="AZ95" s="14" t="s">
        <v>7</v>
      </c>
      <c r="BC95" s="31" t="str">
        <f t="shared" si="30"/>
        <v/>
      </c>
      <c r="BD95" s="31" t="str">
        <f t="shared" si="31"/>
        <v>Y</v>
      </c>
      <c r="BE95" s="31" t="str">
        <f t="shared" si="32"/>
        <v/>
      </c>
      <c r="BF95" s="31" t="str">
        <f t="shared" si="33"/>
        <v/>
      </c>
      <c r="BG95" s="31" t="str">
        <f t="shared" si="34"/>
        <v/>
      </c>
      <c r="BH95" s="31" t="str">
        <f t="shared" si="35"/>
        <v/>
      </c>
      <c r="BI95" s="31" t="str">
        <f t="shared" si="36"/>
        <v>Y</v>
      </c>
      <c r="BJ95" s="30" t="str">
        <f t="shared" si="37"/>
        <v>Y</v>
      </c>
      <c r="BK95" s="31" t="str">
        <f t="shared" si="38"/>
        <v>Y</v>
      </c>
      <c r="BL95" s="30" t="str">
        <f t="shared" si="39"/>
        <v/>
      </c>
      <c r="BM95" s="31" t="str">
        <f t="shared" si="40"/>
        <v/>
      </c>
      <c r="BN95" s="31" t="str">
        <f t="shared" si="41"/>
        <v/>
      </c>
      <c r="BO95" s="31" t="str">
        <f t="shared" si="42"/>
        <v/>
      </c>
      <c r="BP95" s="31" t="str">
        <f t="shared" si="43"/>
        <v>Y</v>
      </c>
      <c r="BQ95" s="31" t="str">
        <f t="shared" si="44"/>
        <v>Y</v>
      </c>
      <c r="BR95" s="31" t="str">
        <f t="shared" si="45"/>
        <v/>
      </c>
      <c r="BS95" s="31" t="str">
        <f t="shared" si="46"/>
        <v/>
      </c>
      <c r="BT95" s="31" t="str">
        <f t="shared" si="47"/>
        <v/>
      </c>
      <c r="BU95" s="30" t="str">
        <f t="shared" si="48"/>
        <v/>
      </c>
      <c r="BV95" s="39" t="str">
        <f t="shared" si="49"/>
        <v>Y</v>
      </c>
      <c r="BW95" s="3" t="s">
        <v>244</v>
      </c>
    </row>
    <row r="96" spans="1:75" x14ac:dyDescent="0.35">
      <c r="A96" s="11" t="s">
        <v>94</v>
      </c>
      <c r="B96" s="3" t="s">
        <v>62</v>
      </c>
      <c r="C96" s="12"/>
      <c r="D96" s="59"/>
      <c r="E96" s="13"/>
      <c r="F96" s="13"/>
      <c r="G96" s="13"/>
      <c r="H96" s="13"/>
      <c r="I96" s="13"/>
      <c r="J96" s="13"/>
      <c r="K96" s="13"/>
      <c r="L96" s="13"/>
      <c r="N96" s="13"/>
      <c r="Q96" s="13"/>
      <c r="R96" s="13"/>
      <c r="S96" s="13"/>
      <c r="V96" s="13"/>
      <c r="W96" s="13" t="s">
        <v>7</v>
      </c>
      <c r="X96" s="13"/>
      <c r="Y96" s="13"/>
      <c r="Z96" s="13"/>
      <c r="AA96" s="13"/>
      <c r="AB96" s="13"/>
      <c r="AD96" s="13"/>
      <c r="AE96" s="13"/>
      <c r="AF96" s="13"/>
      <c r="AG96" s="13"/>
      <c r="AH96" s="12"/>
      <c r="AI96" s="13"/>
      <c r="AJ96" s="14"/>
      <c r="AK96" s="13"/>
      <c r="AL96" s="13" t="s">
        <v>7</v>
      </c>
      <c r="AM96" s="15"/>
      <c r="AN96" s="149"/>
      <c r="AO96" s="14"/>
      <c r="AP96" s="14"/>
      <c r="AQ96" s="14" t="s">
        <v>7</v>
      </c>
      <c r="AR96" s="14"/>
      <c r="AS96" s="15"/>
      <c r="AT96" s="14"/>
      <c r="AU96" s="14"/>
      <c r="AV96" s="14"/>
      <c r="AW96" s="14" t="s">
        <v>7</v>
      </c>
      <c r="AX96" s="14"/>
      <c r="AY96" s="14"/>
      <c r="AZ96" s="14"/>
      <c r="BC96" s="31" t="str">
        <f t="shared" si="30"/>
        <v/>
      </c>
      <c r="BD96" s="31" t="str">
        <f t="shared" si="31"/>
        <v>Y</v>
      </c>
      <c r="BE96" s="31" t="str">
        <f t="shared" si="32"/>
        <v/>
      </c>
      <c r="BF96" s="31" t="str">
        <f t="shared" si="33"/>
        <v/>
      </c>
      <c r="BG96" s="31" t="str">
        <f t="shared" si="34"/>
        <v/>
      </c>
      <c r="BH96" s="31" t="str">
        <f t="shared" si="35"/>
        <v/>
      </c>
      <c r="BI96" s="31" t="str">
        <f t="shared" si="36"/>
        <v/>
      </c>
      <c r="BJ96" s="30" t="str">
        <f t="shared" si="37"/>
        <v>Y</v>
      </c>
      <c r="BK96" s="31" t="str">
        <f t="shared" si="38"/>
        <v/>
      </c>
      <c r="BL96" s="30" t="str">
        <f t="shared" si="39"/>
        <v/>
      </c>
      <c r="BM96" s="31" t="str">
        <f t="shared" si="40"/>
        <v/>
      </c>
      <c r="BN96" s="31" t="str">
        <f t="shared" si="41"/>
        <v/>
      </c>
      <c r="BO96" s="31" t="str">
        <f t="shared" si="42"/>
        <v/>
      </c>
      <c r="BP96" s="31" t="str">
        <f t="shared" si="43"/>
        <v>Y</v>
      </c>
      <c r="BQ96" s="31" t="str">
        <f t="shared" si="44"/>
        <v/>
      </c>
      <c r="BR96" s="31" t="str">
        <f t="shared" si="45"/>
        <v/>
      </c>
      <c r="BS96" s="31" t="str">
        <f t="shared" si="46"/>
        <v/>
      </c>
      <c r="BT96" s="31" t="str">
        <f t="shared" si="47"/>
        <v/>
      </c>
      <c r="BU96" s="30" t="str">
        <f t="shared" si="48"/>
        <v/>
      </c>
      <c r="BV96" s="39" t="str">
        <f t="shared" si="49"/>
        <v>Y</v>
      </c>
      <c r="BW96" s="3" t="s">
        <v>239</v>
      </c>
    </row>
    <row r="97" spans="1:75" s="11" customFormat="1" ht="43.5" x14ac:dyDescent="0.35">
      <c r="A97" s="11" t="s">
        <v>95</v>
      </c>
      <c r="B97" s="3" t="s">
        <v>14</v>
      </c>
      <c r="C97" s="12"/>
      <c r="D97" s="59"/>
      <c r="E97" s="13"/>
      <c r="F97" s="13" t="s">
        <v>7</v>
      </c>
      <c r="G97" s="13" t="s">
        <v>7</v>
      </c>
      <c r="H97" s="13"/>
      <c r="I97" s="13"/>
      <c r="J97" s="13"/>
      <c r="K97" s="13"/>
      <c r="L97" s="13" t="s">
        <v>7</v>
      </c>
      <c r="M97" s="13"/>
      <c r="N97" s="13"/>
      <c r="O97" s="13"/>
      <c r="P97" s="13"/>
      <c r="Q97" s="13"/>
      <c r="R97" s="13"/>
      <c r="S97" s="13"/>
      <c r="T97" s="28" t="s">
        <v>7</v>
      </c>
      <c r="U97" s="28"/>
      <c r="V97" s="13"/>
      <c r="W97" s="13"/>
      <c r="X97" s="13" t="s">
        <v>7</v>
      </c>
      <c r="Y97" s="13"/>
      <c r="Z97" s="13"/>
      <c r="AA97" s="13"/>
      <c r="AB97" s="13"/>
      <c r="AC97" s="13"/>
      <c r="AD97" s="13"/>
      <c r="AE97" s="13"/>
      <c r="AF97" s="13"/>
      <c r="AG97" s="13"/>
      <c r="AH97" s="12"/>
      <c r="AI97" s="13"/>
      <c r="AJ97" s="14"/>
      <c r="AK97" s="13" t="s">
        <v>7</v>
      </c>
      <c r="AL97" s="13" t="s">
        <v>7</v>
      </c>
      <c r="AM97" s="15"/>
      <c r="AN97" s="149"/>
      <c r="AO97" s="14"/>
      <c r="AP97" s="14"/>
      <c r="AQ97" s="14" t="s">
        <v>7</v>
      </c>
      <c r="AR97" s="14"/>
      <c r="AS97" s="15"/>
      <c r="AT97" s="14"/>
      <c r="AU97" s="14"/>
      <c r="AV97" s="14"/>
      <c r="AW97" s="14"/>
      <c r="AX97" s="14"/>
      <c r="AY97" s="14" t="s">
        <v>7</v>
      </c>
      <c r="AZ97" s="14"/>
      <c r="BA97" s="30"/>
      <c r="BB97" s="31"/>
      <c r="BC97" s="31" t="str">
        <f t="shared" si="30"/>
        <v/>
      </c>
      <c r="BD97" s="31" t="str">
        <f t="shared" si="31"/>
        <v/>
      </c>
      <c r="BE97" s="31" t="str">
        <f t="shared" si="32"/>
        <v/>
      </c>
      <c r="BF97" s="31" t="str">
        <f t="shared" si="33"/>
        <v/>
      </c>
      <c r="BG97" s="31" t="str">
        <f t="shared" si="34"/>
        <v>Y</v>
      </c>
      <c r="BH97" s="31" t="str">
        <f t="shared" si="35"/>
        <v>Y</v>
      </c>
      <c r="BI97" s="31" t="str">
        <f t="shared" si="36"/>
        <v>Y</v>
      </c>
      <c r="BJ97" s="30" t="str">
        <f t="shared" si="37"/>
        <v/>
      </c>
      <c r="BK97" s="31" t="str">
        <f t="shared" si="38"/>
        <v>Y</v>
      </c>
      <c r="BL97" s="30" t="str">
        <f t="shared" si="39"/>
        <v/>
      </c>
      <c r="BM97" s="31" t="str">
        <f t="shared" si="40"/>
        <v/>
      </c>
      <c r="BN97" s="31" t="str">
        <f t="shared" si="41"/>
        <v>Y</v>
      </c>
      <c r="BO97" s="31" t="str">
        <f t="shared" si="42"/>
        <v/>
      </c>
      <c r="BP97" s="31" t="str">
        <f t="shared" si="43"/>
        <v/>
      </c>
      <c r="BQ97" s="31" t="str">
        <f t="shared" si="44"/>
        <v>Y</v>
      </c>
      <c r="BR97" s="31" t="str">
        <f t="shared" si="45"/>
        <v>Y</v>
      </c>
      <c r="BS97" s="31" t="str">
        <f t="shared" si="46"/>
        <v/>
      </c>
      <c r="BT97" s="31" t="str">
        <f t="shared" si="47"/>
        <v>Y</v>
      </c>
      <c r="BU97" s="30" t="str">
        <f t="shared" si="48"/>
        <v>Y</v>
      </c>
      <c r="BV97" s="39" t="str">
        <f t="shared" si="49"/>
        <v>Y</v>
      </c>
      <c r="BW97" s="3" t="s">
        <v>442</v>
      </c>
    </row>
    <row r="98" spans="1:75" x14ac:dyDescent="0.35">
      <c r="A98" s="11" t="s">
        <v>96</v>
      </c>
      <c r="B98" s="3" t="s">
        <v>46</v>
      </c>
      <c r="C98" s="12"/>
      <c r="D98" s="59"/>
      <c r="E98" s="13"/>
      <c r="F98" s="13"/>
      <c r="G98" s="13"/>
      <c r="H98" s="13" t="s">
        <v>7</v>
      </c>
      <c r="I98" s="13"/>
      <c r="J98" s="13"/>
      <c r="K98" s="13"/>
      <c r="L98" s="13" t="s">
        <v>7</v>
      </c>
      <c r="N98" s="13"/>
      <c r="Q98" s="13"/>
      <c r="R98" s="13"/>
      <c r="S98" s="13"/>
      <c r="V98" s="13"/>
      <c r="W98" s="13"/>
      <c r="X98" s="13"/>
      <c r="Y98" s="13"/>
      <c r="Z98" s="13"/>
      <c r="AA98" s="13"/>
      <c r="AB98" s="13"/>
      <c r="AD98" s="13"/>
      <c r="AE98" s="13"/>
      <c r="AF98" s="13"/>
      <c r="AG98" s="13"/>
      <c r="AH98" s="12"/>
      <c r="AI98" s="13"/>
      <c r="AJ98" s="14"/>
      <c r="AK98" s="13" t="s">
        <v>7</v>
      </c>
      <c r="AL98" s="13"/>
      <c r="AM98" s="15"/>
      <c r="AN98" s="149"/>
      <c r="AO98" s="14"/>
      <c r="AP98" s="14"/>
      <c r="AQ98" s="14" t="s">
        <v>7</v>
      </c>
      <c r="AR98" s="14"/>
      <c r="AS98" s="15"/>
      <c r="AT98" s="14"/>
      <c r="AU98" s="14"/>
      <c r="AV98" s="14"/>
      <c r="AW98" s="14"/>
      <c r="AX98" s="14"/>
      <c r="AY98" s="14"/>
      <c r="AZ98" s="14" t="s">
        <v>7</v>
      </c>
      <c r="BC98" s="31" t="str">
        <f t="shared" si="30"/>
        <v/>
      </c>
      <c r="BD98" s="31" t="str">
        <f t="shared" si="31"/>
        <v/>
      </c>
      <c r="BE98" s="31" t="str">
        <f t="shared" si="32"/>
        <v/>
      </c>
      <c r="BF98" s="31" t="str">
        <f t="shared" si="33"/>
        <v/>
      </c>
      <c r="BG98" s="31" t="str">
        <f t="shared" si="34"/>
        <v>Y</v>
      </c>
      <c r="BH98" s="31" t="str">
        <f t="shared" si="35"/>
        <v/>
      </c>
      <c r="BI98" s="31" t="str">
        <f t="shared" si="36"/>
        <v>Y</v>
      </c>
      <c r="BJ98" s="30" t="str">
        <f t="shared" si="37"/>
        <v/>
      </c>
      <c r="BK98" s="31" t="str">
        <f t="shared" si="38"/>
        <v>Y</v>
      </c>
      <c r="BL98" s="30" t="str">
        <f t="shared" si="39"/>
        <v/>
      </c>
      <c r="BM98" s="31" t="str">
        <f t="shared" si="40"/>
        <v/>
      </c>
      <c r="BN98" s="31" t="str">
        <f t="shared" si="41"/>
        <v>Y</v>
      </c>
      <c r="BO98" s="31" t="str">
        <f t="shared" si="42"/>
        <v/>
      </c>
      <c r="BP98" s="31" t="str">
        <f t="shared" si="43"/>
        <v/>
      </c>
      <c r="BQ98" s="31" t="str">
        <f t="shared" si="44"/>
        <v/>
      </c>
      <c r="BR98" s="31" t="str">
        <f t="shared" si="45"/>
        <v/>
      </c>
      <c r="BS98" s="31" t="str">
        <f t="shared" si="46"/>
        <v>Y</v>
      </c>
      <c r="BT98" s="31" t="str">
        <f t="shared" si="47"/>
        <v/>
      </c>
      <c r="BU98" s="30" t="str">
        <f t="shared" si="48"/>
        <v>Y</v>
      </c>
      <c r="BV98" s="39" t="str">
        <f t="shared" si="49"/>
        <v>Y</v>
      </c>
      <c r="BW98" s="3" t="s">
        <v>280</v>
      </c>
    </row>
    <row r="99" spans="1:75" x14ac:dyDescent="0.35">
      <c r="A99" s="11" t="s">
        <v>97</v>
      </c>
      <c r="B99" s="3" t="s">
        <v>46</v>
      </c>
      <c r="C99" s="12"/>
      <c r="D99" s="59"/>
      <c r="E99" s="13"/>
      <c r="F99" s="13"/>
      <c r="G99" s="13"/>
      <c r="H99" s="13" t="s">
        <v>7</v>
      </c>
      <c r="I99" s="13"/>
      <c r="J99" s="13"/>
      <c r="K99" s="13"/>
      <c r="L99" s="13"/>
      <c r="N99" s="13"/>
      <c r="Q99" s="13"/>
      <c r="R99" s="13"/>
      <c r="S99" s="13"/>
      <c r="V99" s="13"/>
      <c r="W99" s="13"/>
      <c r="X99" s="13"/>
      <c r="Y99" s="13"/>
      <c r="Z99" s="13"/>
      <c r="AA99" s="13"/>
      <c r="AB99" s="13"/>
      <c r="AD99" s="13"/>
      <c r="AE99" s="13"/>
      <c r="AF99" s="13"/>
      <c r="AG99" s="13"/>
      <c r="AH99" s="12"/>
      <c r="AI99" s="13"/>
      <c r="AJ99" s="14"/>
      <c r="AK99" s="13" t="s">
        <v>7</v>
      </c>
      <c r="AL99" s="13"/>
      <c r="AM99" s="15"/>
      <c r="AN99" s="149"/>
      <c r="AO99" s="14"/>
      <c r="AP99" s="14"/>
      <c r="AQ99" s="14" t="s">
        <v>7</v>
      </c>
      <c r="AR99" s="14"/>
      <c r="AS99" s="15"/>
      <c r="AT99" s="14"/>
      <c r="AU99" s="14" t="s">
        <v>7</v>
      </c>
      <c r="AV99" s="14"/>
      <c r="AW99" s="14"/>
      <c r="AX99" s="14"/>
      <c r="AY99" s="14"/>
      <c r="AZ99" s="14"/>
      <c r="BC99" s="31" t="str">
        <f t="shared" si="30"/>
        <v/>
      </c>
      <c r="BD99" s="31" t="str">
        <f t="shared" si="31"/>
        <v/>
      </c>
      <c r="BE99" s="31" t="str">
        <f t="shared" si="32"/>
        <v/>
      </c>
      <c r="BF99" s="31" t="str">
        <f t="shared" si="33"/>
        <v/>
      </c>
      <c r="BG99" s="31" t="str">
        <f t="shared" si="34"/>
        <v/>
      </c>
      <c r="BH99" s="31" t="str">
        <f t="shared" si="35"/>
        <v/>
      </c>
      <c r="BI99" s="31" t="str">
        <f t="shared" si="36"/>
        <v>Y</v>
      </c>
      <c r="BJ99" s="30" t="str">
        <f t="shared" si="37"/>
        <v/>
      </c>
      <c r="BK99" s="31" t="str">
        <f t="shared" si="38"/>
        <v>Y</v>
      </c>
      <c r="BL99" s="30" t="str">
        <f t="shared" si="39"/>
        <v/>
      </c>
      <c r="BM99" s="31" t="str">
        <f t="shared" si="40"/>
        <v/>
      </c>
      <c r="BN99" s="31" t="str">
        <f t="shared" si="41"/>
        <v/>
      </c>
      <c r="BO99" s="31" t="str">
        <f t="shared" si="42"/>
        <v/>
      </c>
      <c r="BP99" s="31" t="str">
        <f t="shared" si="43"/>
        <v/>
      </c>
      <c r="BQ99" s="31" t="str">
        <f t="shared" si="44"/>
        <v/>
      </c>
      <c r="BR99" s="31" t="str">
        <f t="shared" si="45"/>
        <v/>
      </c>
      <c r="BS99" s="31" t="str">
        <f t="shared" si="46"/>
        <v>Y</v>
      </c>
      <c r="BT99" s="31" t="str">
        <f t="shared" si="47"/>
        <v/>
      </c>
      <c r="BU99" s="30" t="str">
        <f t="shared" si="48"/>
        <v/>
      </c>
      <c r="BV99" s="39" t="str">
        <f t="shared" si="49"/>
        <v>Y</v>
      </c>
      <c r="BW99" s="3" t="s">
        <v>337</v>
      </c>
    </row>
    <row r="100" spans="1:75" x14ac:dyDescent="0.35">
      <c r="A100" s="11" t="s">
        <v>98</v>
      </c>
      <c r="B100" s="3" t="s">
        <v>54</v>
      </c>
      <c r="C100" s="12" t="s">
        <v>7</v>
      </c>
      <c r="D100" s="59" t="s">
        <v>7</v>
      </c>
      <c r="E100" s="13"/>
      <c r="F100" s="13"/>
      <c r="G100" s="13"/>
      <c r="H100" s="13"/>
      <c r="I100" s="13"/>
      <c r="J100" s="13"/>
      <c r="K100" s="13"/>
      <c r="L100" s="13"/>
      <c r="N100" s="13"/>
      <c r="P100" s="13" t="s">
        <v>7</v>
      </c>
      <c r="Q100" s="13"/>
      <c r="R100" s="13"/>
      <c r="S100" s="13" t="s">
        <v>7</v>
      </c>
      <c r="T100" s="28" t="s">
        <v>7</v>
      </c>
      <c r="V100" s="13"/>
      <c r="W100" s="13"/>
      <c r="X100" s="13"/>
      <c r="Y100" s="13"/>
      <c r="Z100" s="13"/>
      <c r="AA100" s="13"/>
      <c r="AB100" s="13"/>
      <c r="AD100" s="13"/>
      <c r="AE100" s="13"/>
      <c r="AF100" s="13"/>
      <c r="AG100" s="13"/>
      <c r="AH100" s="12" t="s">
        <v>7</v>
      </c>
      <c r="AI100" s="13"/>
      <c r="AJ100" s="14"/>
      <c r="AK100" s="13" t="s">
        <v>7</v>
      </c>
      <c r="AL100" s="13" t="s">
        <v>7</v>
      </c>
      <c r="AM100" s="15"/>
      <c r="AN100" s="149"/>
      <c r="AO100" s="14"/>
      <c r="AP100" s="14" t="s">
        <v>7</v>
      </c>
      <c r="AQ100" s="14"/>
      <c r="AR100" s="14"/>
      <c r="AS100" s="15"/>
      <c r="AT100" s="14"/>
      <c r="AU100" s="14"/>
      <c r="AV100" s="14"/>
      <c r="AW100" s="14"/>
      <c r="AX100" s="14" t="s">
        <v>7</v>
      </c>
      <c r="AY100" s="14"/>
      <c r="AZ100" s="14"/>
      <c r="BC100" s="31" t="str">
        <f t="shared" si="30"/>
        <v>Y</v>
      </c>
      <c r="BD100" s="31" t="str">
        <f t="shared" si="31"/>
        <v/>
      </c>
      <c r="BE100" s="31" t="str">
        <f t="shared" si="32"/>
        <v/>
      </c>
      <c r="BF100" s="31" t="str">
        <f t="shared" si="33"/>
        <v/>
      </c>
      <c r="BG100" s="31" t="str">
        <f t="shared" si="34"/>
        <v>Y</v>
      </c>
      <c r="BH100" s="31" t="str">
        <f t="shared" si="35"/>
        <v>Y</v>
      </c>
      <c r="BI100" s="31" t="str">
        <f t="shared" si="36"/>
        <v>Y</v>
      </c>
      <c r="BJ100" s="30" t="str">
        <f t="shared" si="37"/>
        <v>Y</v>
      </c>
      <c r="BK100" s="31" t="str">
        <f t="shared" si="38"/>
        <v>Y</v>
      </c>
      <c r="BL100" s="30" t="str">
        <f t="shared" si="39"/>
        <v>Y</v>
      </c>
      <c r="BM100" s="31" t="str">
        <f t="shared" si="40"/>
        <v>Y</v>
      </c>
      <c r="BN100" s="31" t="str">
        <f t="shared" si="41"/>
        <v/>
      </c>
      <c r="BO100" s="31" t="str">
        <f t="shared" si="42"/>
        <v>Y</v>
      </c>
      <c r="BP100" s="31" t="str">
        <f t="shared" si="43"/>
        <v/>
      </c>
      <c r="BQ100" s="31" t="str">
        <f t="shared" si="44"/>
        <v>Y</v>
      </c>
      <c r="BR100" s="31" t="str">
        <f t="shared" si="45"/>
        <v/>
      </c>
      <c r="BS100" s="31" t="str">
        <f t="shared" si="46"/>
        <v/>
      </c>
      <c r="BT100" s="31" t="str">
        <f t="shared" si="47"/>
        <v/>
      </c>
      <c r="BU100" s="30" t="str">
        <f t="shared" si="48"/>
        <v>Y</v>
      </c>
      <c r="BV100" s="39" t="str">
        <f t="shared" si="49"/>
        <v>Y</v>
      </c>
      <c r="BW100" s="3" t="s">
        <v>287</v>
      </c>
    </row>
    <row r="101" spans="1:75" x14ac:dyDescent="0.35">
      <c r="A101" s="11" t="s">
        <v>99</v>
      </c>
      <c r="B101" s="3" t="s">
        <v>46</v>
      </c>
      <c r="C101" s="12" t="s">
        <v>7</v>
      </c>
      <c r="D101" s="59"/>
      <c r="E101" s="13"/>
      <c r="F101" s="13"/>
      <c r="G101" s="13" t="s">
        <v>7</v>
      </c>
      <c r="H101" s="13" t="s">
        <v>7</v>
      </c>
      <c r="I101" s="13"/>
      <c r="J101" s="13"/>
      <c r="K101" s="13"/>
      <c r="L101" s="13" t="s">
        <v>7</v>
      </c>
      <c r="N101" s="13"/>
      <c r="Q101" s="13"/>
      <c r="R101" s="13"/>
      <c r="S101" s="13"/>
      <c r="V101" s="13"/>
      <c r="W101" s="13"/>
      <c r="X101" s="13"/>
      <c r="Y101" s="13"/>
      <c r="Z101" s="13"/>
      <c r="AA101" s="13"/>
      <c r="AB101" s="13"/>
      <c r="AD101" s="13"/>
      <c r="AE101" s="13"/>
      <c r="AF101" s="13"/>
      <c r="AG101" s="13"/>
      <c r="AH101" s="12"/>
      <c r="AI101" s="13"/>
      <c r="AJ101" s="14"/>
      <c r="AK101" s="13" t="s">
        <v>7</v>
      </c>
      <c r="AL101" s="13" t="s">
        <v>7</v>
      </c>
      <c r="AM101" s="15"/>
      <c r="AN101" s="149"/>
      <c r="AO101" s="14"/>
      <c r="AP101" s="14"/>
      <c r="AQ101" s="14" t="s">
        <v>7</v>
      </c>
      <c r="AR101" s="14"/>
      <c r="AS101" s="15"/>
      <c r="AT101" s="14"/>
      <c r="AU101" s="14"/>
      <c r="AV101" s="14"/>
      <c r="AW101" s="14"/>
      <c r="AX101" s="14"/>
      <c r="AY101" s="14"/>
      <c r="AZ101" s="14" t="s">
        <v>7</v>
      </c>
      <c r="BC101" s="31" t="str">
        <f t="shared" si="30"/>
        <v/>
      </c>
      <c r="BD101" s="31" t="str">
        <f t="shared" si="31"/>
        <v/>
      </c>
      <c r="BE101" s="31" t="str">
        <f t="shared" si="32"/>
        <v/>
      </c>
      <c r="BF101" s="31" t="str">
        <f t="shared" si="33"/>
        <v/>
      </c>
      <c r="BG101" s="31" t="str">
        <f t="shared" si="34"/>
        <v>Y</v>
      </c>
      <c r="BH101" s="31" t="str">
        <f t="shared" si="35"/>
        <v/>
      </c>
      <c r="BI101" s="31" t="str">
        <f t="shared" si="36"/>
        <v>Y</v>
      </c>
      <c r="BJ101" s="30" t="str">
        <f t="shared" si="37"/>
        <v/>
      </c>
      <c r="BK101" s="31" t="str">
        <f t="shared" si="38"/>
        <v>Y</v>
      </c>
      <c r="BL101" s="30" t="str">
        <f t="shared" si="39"/>
        <v/>
      </c>
      <c r="BM101" s="31" t="str">
        <f t="shared" si="40"/>
        <v/>
      </c>
      <c r="BN101" s="31" t="str">
        <f t="shared" si="41"/>
        <v>Y</v>
      </c>
      <c r="BO101" s="31" t="str">
        <f t="shared" si="42"/>
        <v>Y</v>
      </c>
      <c r="BP101" s="31" t="str">
        <f t="shared" si="43"/>
        <v/>
      </c>
      <c r="BQ101" s="31" t="str">
        <f t="shared" si="44"/>
        <v>Y</v>
      </c>
      <c r="BR101" s="31" t="str">
        <f t="shared" si="45"/>
        <v/>
      </c>
      <c r="BS101" s="31" t="str">
        <f t="shared" si="46"/>
        <v>Y</v>
      </c>
      <c r="BT101" s="31" t="str">
        <f t="shared" si="47"/>
        <v/>
      </c>
      <c r="BU101" s="30" t="str">
        <f t="shared" si="48"/>
        <v>Y</v>
      </c>
      <c r="BV101" s="39" t="str">
        <f t="shared" si="49"/>
        <v>Y</v>
      </c>
      <c r="BW101" s="3" t="s">
        <v>239</v>
      </c>
    </row>
    <row r="102" spans="1:75" ht="58" x14ac:dyDescent="0.35">
      <c r="A102" s="11" t="s">
        <v>100</v>
      </c>
      <c r="B102" s="3" t="s">
        <v>54</v>
      </c>
      <c r="C102" s="12" t="s">
        <v>7</v>
      </c>
      <c r="D102" s="59" t="s">
        <v>7</v>
      </c>
      <c r="E102" s="13" t="s">
        <v>7</v>
      </c>
      <c r="F102" s="11" t="s">
        <v>7</v>
      </c>
      <c r="G102" s="13" t="s">
        <v>7</v>
      </c>
      <c r="H102" s="13"/>
      <c r="I102" s="13" t="s">
        <v>7</v>
      </c>
      <c r="J102" s="13"/>
      <c r="K102" s="13"/>
      <c r="L102" s="13" t="s">
        <v>7</v>
      </c>
      <c r="N102" s="13"/>
      <c r="P102" s="13" t="s">
        <v>7</v>
      </c>
      <c r="Q102" s="13"/>
      <c r="R102" s="13"/>
      <c r="S102" s="13" t="s">
        <v>7</v>
      </c>
      <c r="T102" s="28" t="s">
        <v>7</v>
      </c>
      <c r="V102" s="13"/>
      <c r="W102" s="13" t="s">
        <v>7</v>
      </c>
      <c r="X102" s="13"/>
      <c r="Y102" s="13"/>
      <c r="Z102" s="13"/>
      <c r="AA102" s="13" t="s">
        <v>7</v>
      </c>
      <c r="AB102" s="13"/>
      <c r="AC102" s="13" t="s">
        <v>7</v>
      </c>
      <c r="AD102" s="13"/>
      <c r="AE102" s="13"/>
      <c r="AF102" s="13"/>
      <c r="AG102" s="13" t="s">
        <v>7</v>
      </c>
      <c r="AH102" s="12" t="s">
        <v>7</v>
      </c>
      <c r="AI102" s="13" t="s">
        <v>7</v>
      </c>
      <c r="AJ102" s="14" t="s">
        <v>7</v>
      </c>
      <c r="AK102" s="13" t="s">
        <v>7</v>
      </c>
      <c r="AL102" s="13" t="s">
        <v>7</v>
      </c>
      <c r="AM102" s="15"/>
      <c r="AN102" s="149"/>
      <c r="AO102" s="14"/>
      <c r="AP102" s="14" t="s">
        <v>7</v>
      </c>
      <c r="AQ102" s="14"/>
      <c r="AR102" s="14"/>
      <c r="AS102" s="15"/>
      <c r="AT102" s="14"/>
      <c r="AU102" s="14"/>
      <c r="AV102" s="14"/>
      <c r="AW102" s="14"/>
      <c r="AX102" s="14" t="s">
        <v>7</v>
      </c>
      <c r="AY102" s="14"/>
      <c r="AZ102" s="14"/>
      <c r="BC102" s="31" t="str">
        <f t="shared" si="30"/>
        <v>Y</v>
      </c>
      <c r="BD102" s="31" t="str">
        <f t="shared" si="31"/>
        <v>Y</v>
      </c>
      <c r="BE102" s="31" t="str">
        <f t="shared" si="32"/>
        <v>Y</v>
      </c>
      <c r="BF102" s="31" t="str">
        <f t="shared" si="33"/>
        <v/>
      </c>
      <c r="BG102" s="31" t="str">
        <f t="shared" si="34"/>
        <v>Y</v>
      </c>
      <c r="BH102" s="31" t="str">
        <f t="shared" si="35"/>
        <v>Y</v>
      </c>
      <c r="BI102" s="31" t="str">
        <f t="shared" si="36"/>
        <v>Y</v>
      </c>
      <c r="BJ102" s="30" t="str">
        <f t="shared" si="37"/>
        <v>Y</v>
      </c>
      <c r="BK102" s="31" t="str">
        <f t="shared" si="38"/>
        <v>Y</v>
      </c>
      <c r="BL102" s="30" t="str">
        <f t="shared" si="39"/>
        <v>Y</v>
      </c>
      <c r="BM102" s="31" t="str">
        <f t="shared" si="40"/>
        <v>Y</v>
      </c>
      <c r="BN102" s="31" t="str">
        <f t="shared" si="41"/>
        <v>Y</v>
      </c>
      <c r="BO102" s="31" t="str">
        <f t="shared" si="42"/>
        <v>Y</v>
      </c>
      <c r="BP102" s="31" t="str">
        <f t="shared" si="43"/>
        <v>Y</v>
      </c>
      <c r="BQ102" s="31" t="str">
        <f t="shared" si="44"/>
        <v>Y</v>
      </c>
      <c r="BR102" s="31" t="str">
        <f t="shared" si="45"/>
        <v>Y</v>
      </c>
      <c r="BS102" s="31" t="str">
        <f t="shared" si="46"/>
        <v>Y</v>
      </c>
      <c r="BT102" s="31" t="str">
        <f t="shared" si="47"/>
        <v/>
      </c>
      <c r="BU102" s="30" t="str">
        <f t="shared" si="48"/>
        <v>Y</v>
      </c>
      <c r="BV102" s="39" t="str">
        <f t="shared" si="49"/>
        <v>Y</v>
      </c>
      <c r="BW102" s="3" t="s">
        <v>443</v>
      </c>
    </row>
    <row r="103" spans="1:75" x14ac:dyDescent="0.35">
      <c r="A103" s="11" t="s">
        <v>101</v>
      </c>
      <c r="B103" s="3" t="s">
        <v>28</v>
      </c>
      <c r="C103" s="12"/>
      <c r="D103" s="59"/>
      <c r="E103" s="13"/>
      <c r="F103" s="13"/>
      <c r="G103" s="13"/>
      <c r="H103" s="13" t="s">
        <v>7</v>
      </c>
      <c r="I103" s="13"/>
      <c r="J103" s="13"/>
      <c r="K103" s="13"/>
      <c r="L103" s="13"/>
      <c r="N103" s="13"/>
      <c r="Q103" s="13"/>
      <c r="R103" s="13"/>
      <c r="S103" s="13"/>
      <c r="V103" s="13"/>
      <c r="W103" s="13"/>
      <c r="X103" s="13"/>
      <c r="Y103" s="13"/>
      <c r="Z103" s="13"/>
      <c r="AA103" s="13"/>
      <c r="AB103" s="13"/>
      <c r="AD103" s="13"/>
      <c r="AE103" s="13"/>
      <c r="AF103" s="13"/>
      <c r="AG103" s="13"/>
      <c r="AH103" s="12"/>
      <c r="AI103" s="13"/>
      <c r="AJ103" s="14"/>
      <c r="AK103" s="13" t="s">
        <v>7</v>
      </c>
      <c r="AL103" s="13"/>
      <c r="AM103" s="15"/>
      <c r="AN103" s="149"/>
      <c r="AO103" s="14"/>
      <c r="AP103" s="14"/>
      <c r="AQ103" s="14" t="s">
        <v>7</v>
      </c>
      <c r="AR103" s="14"/>
      <c r="AS103" s="15"/>
      <c r="AT103" s="14"/>
      <c r="AU103" s="14"/>
      <c r="AV103" s="14"/>
      <c r="AW103" s="14"/>
      <c r="AX103" s="14"/>
      <c r="AY103" s="14"/>
      <c r="AZ103" s="14" t="s">
        <v>7</v>
      </c>
      <c r="BC103" s="31" t="str">
        <f t="shared" si="30"/>
        <v/>
      </c>
      <c r="BD103" s="31" t="str">
        <f t="shared" si="31"/>
        <v/>
      </c>
      <c r="BE103" s="31" t="str">
        <f t="shared" si="32"/>
        <v/>
      </c>
      <c r="BF103" s="31" t="str">
        <f t="shared" si="33"/>
        <v/>
      </c>
      <c r="BG103" s="31" t="str">
        <f t="shared" si="34"/>
        <v/>
      </c>
      <c r="BH103" s="31" t="str">
        <f t="shared" si="35"/>
        <v/>
      </c>
      <c r="BI103" s="31" t="str">
        <f t="shared" si="36"/>
        <v>Y</v>
      </c>
      <c r="BJ103" s="30" t="str">
        <f t="shared" si="37"/>
        <v/>
      </c>
      <c r="BK103" s="31" t="str">
        <f t="shared" si="38"/>
        <v>Y</v>
      </c>
      <c r="BL103" s="30" t="str">
        <f t="shared" si="39"/>
        <v/>
      </c>
      <c r="BM103" s="31" t="str">
        <f t="shared" si="40"/>
        <v/>
      </c>
      <c r="BN103" s="31" t="str">
        <f t="shared" si="41"/>
        <v/>
      </c>
      <c r="BO103" s="31" t="str">
        <f t="shared" si="42"/>
        <v/>
      </c>
      <c r="BP103" s="31" t="str">
        <f t="shared" si="43"/>
        <v/>
      </c>
      <c r="BQ103" s="31" t="str">
        <f t="shared" si="44"/>
        <v/>
      </c>
      <c r="BR103" s="31" t="str">
        <f t="shared" si="45"/>
        <v/>
      </c>
      <c r="BS103" s="31" t="str">
        <f t="shared" si="46"/>
        <v>Y</v>
      </c>
      <c r="BT103" s="31" t="str">
        <f t="shared" si="47"/>
        <v/>
      </c>
      <c r="BU103" s="30" t="str">
        <f t="shared" si="48"/>
        <v/>
      </c>
      <c r="BV103" s="39" t="str">
        <f t="shared" si="49"/>
        <v>Y</v>
      </c>
      <c r="BW103" s="3" t="s">
        <v>239</v>
      </c>
    </row>
    <row r="104" spans="1:75" x14ac:dyDescent="0.35">
      <c r="A104" s="11" t="s">
        <v>102</v>
      </c>
      <c r="B104" s="3" t="s">
        <v>62</v>
      </c>
      <c r="C104" s="12" t="s">
        <v>7</v>
      </c>
      <c r="D104" s="59"/>
      <c r="E104" s="13"/>
      <c r="F104" s="13"/>
      <c r="G104" s="13"/>
      <c r="H104" s="13"/>
      <c r="I104" s="13"/>
      <c r="J104" s="13"/>
      <c r="K104" s="13"/>
      <c r="L104" s="13"/>
      <c r="N104" s="13"/>
      <c r="Q104" s="13"/>
      <c r="R104" s="13"/>
      <c r="S104" s="13"/>
      <c r="V104" s="13"/>
      <c r="W104" s="13"/>
      <c r="X104" s="13"/>
      <c r="Y104" s="13"/>
      <c r="Z104" s="13"/>
      <c r="AA104" s="13"/>
      <c r="AB104" s="13"/>
      <c r="AD104" s="13"/>
      <c r="AE104" s="13"/>
      <c r="AF104" s="13"/>
      <c r="AG104" s="13"/>
      <c r="AH104" s="12"/>
      <c r="AI104" s="13"/>
      <c r="AJ104" s="14"/>
      <c r="AK104" s="13" t="s">
        <v>7</v>
      </c>
      <c r="AL104" s="13"/>
      <c r="AM104" s="15"/>
      <c r="AN104" s="149"/>
      <c r="AO104" s="14"/>
      <c r="AP104" s="14"/>
      <c r="AQ104" s="14" t="s">
        <v>7</v>
      </c>
      <c r="AR104" s="14"/>
      <c r="AS104" s="15"/>
      <c r="AT104" s="14"/>
      <c r="AU104" s="14"/>
      <c r="AV104" s="14"/>
      <c r="AW104" s="14" t="s">
        <v>7</v>
      </c>
      <c r="AX104" s="14"/>
      <c r="AY104" s="14"/>
      <c r="AZ104" s="14"/>
      <c r="BC104" s="31" t="str">
        <f t="shared" si="30"/>
        <v/>
      </c>
      <c r="BD104" s="31" t="str">
        <f t="shared" si="31"/>
        <v/>
      </c>
      <c r="BE104" s="31" t="str">
        <f t="shared" si="32"/>
        <v/>
      </c>
      <c r="BF104" s="31" t="str">
        <f t="shared" si="33"/>
        <v/>
      </c>
      <c r="BG104" s="31" t="str">
        <f t="shared" si="34"/>
        <v>Y</v>
      </c>
      <c r="BH104" s="31" t="str">
        <f t="shared" si="35"/>
        <v/>
      </c>
      <c r="BI104" s="31" t="str">
        <f t="shared" si="36"/>
        <v/>
      </c>
      <c r="BJ104" s="30" t="str">
        <f t="shared" si="37"/>
        <v/>
      </c>
      <c r="BK104" s="31" t="str">
        <f t="shared" si="38"/>
        <v>Y</v>
      </c>
      <c r="BL104" s="30" t="str">
        <f t="shared" si="39"/>
        <v/>
      </c>
      <c r="BM104" s="31" t="str">
        <f t="shared" si="40"/>
        <v/>
      </c>
      <c r="BN104" s="31" t="str">
        <f t="shared" si="41"/>
        <v/>
      </c>
      <c r="BO104" s="31" t="str">
        <f t="shared" si="42"/>
        <v>Y</v>
      </c>
      <c r="BP104" s="31" t="str">
        <f t="shared" si="43"/>
        <v/>
      </c>
      <c r="BQ104" s="31" t="str">
        <f t="shared" si="44"/>
        <v/>
      </c>
      <c r="BR104" s="31" t="str">
        <f t="shared" si="45"/>
        <v/>
      </c>
      <c r="BS104" s="31" t="str">
        <f t="shared" si="46"/>
        <v/>
      </c>
      <c r="BT104" s="31" t="str">
        <f t="shared" si="47"/>
        <v/>
      </c>
      <c r="BU104" s="30" t="str">
        <f t="shared" si="48"/>
        <v>Y</v>
      </c>
      <c r="BV104" s="39" t="str">
        <f t="shared" si="49"/>
        <v/>
      </c>
      <c r="BW104" s="3" t="s">
        <v>235</v>
      </c>
    </row>
    <row r="105" spans="1:75" x14ac:dyDescent="0.35">
      <c r="A105" s="13" t="s">
        <v>103</v>
      </c>
      <c r="B105" s="12" t="s">
        <v>16</v>
      </c>
      <c r="C105" s="12"/>
      <c r="D105" s="59"/>
      <c r="E105" s="13"/>
      <c r="F105" s="13"/>
      <c r="G105" s="13"/>
      <c r="H105" s="13" t="s">
        <v>7</v>
      </c>
      <c r="I105" s="13"/>
      <c r="J105" s="13"/>
      <c r="K105" s="13"/>
      <c r="L105" s="13"/>
      <c r="N105" s="13"/>
      <c r="Q105" s="13"/>
      <c r="R105" s="13"/>
      <c r="S105" s="13"/>
      <c r="V105" s="13"/>
      <c r="W105" s="13"/>
      <c r="X105" s="13"/>
      <c r="Y105" s="13"/>
      <c r="Z105" s="13"/>
      <c r="AA105" s="13"/>
      <c r="AB105" s="13"/>
      <c r="AD105" s="13"/>
      <c r="AE105" s="13"/>
      <c r="AF105" s="13"/>
      <c r="AG105" s="13"/>
      <c r="AH105" s="12"/>
      <c r="AI105" s="13"/>
      <c r="AJ105" s="14"/>
      <c r="AK105" s="13" t="s">
        <v>7</v>
      </c>
      <c r="AL105" s="13"/>
      <c r="AM105" s="12"/>
      <c r="AN105" s="59"/>
      <c r="AO105" s="13"/>
      <c r="AP105" s="13"/>
      <c r="AQ105" s="13" t="s">
        <v>7</v>
      </c>
      <c r="AR105" s="13"/>
      <c r="AS105" s="12"/>
      <c r="AT105" s="13"/>
      <c r="AU105" s="13"/>
      <c r="AV105" s="13" t="s">
        <v>7</v>
      </c>
      <c r="AW105" s="13"/>
      <c r="AX105" s="13"/>
      <c r="AY105" s="13"/>
      <c r="AZ105" s="13"/>
      <c r="BC105" s="31" t="str">
        <f t="shared" si="30"/>
        <v/>
      </c>
      <c r="BD105" s="31" t="str">
        <f t="shared" si="31"/>
        <v/>
      </c>
      <c r="BE105" s="31" t="str">
        <f t="shared" si="32"/>
        <v/>
      </c>
      <c r="BF105" s="31" t="str">
        <f t="shared" si="33"/>
        <v/>
      </c>
      <c r="BG105" s="31" t="str">
        <f t="shared" si="34"/>
        <v/>
      </c>
      <c r="BH105" s="31" t="str">
        <f t="shared" si="35"/>
        <v/>
      </c>
      <c r="BI105" s="31" t="str">
        <f t="shared" si="36"/>
        <v>Y</v>
      </c>
      <c r="BJ105" s="30" t="str">
        <f t="shared" si="37"/>
        <v/>
      </c>
      <c r="BK105" s="31" t="str">
        <f t="shared" si="38"/>
        <v>Y</v>
      </c>
      <c r="BL105" s="30" t="str">
        <f t="shared" si="39"/>
        <v/>
      </c>
      <c r="BM105" s="31" t="str">
        <f t="shared" si="40"/>
        <v/>
      </c>
      <c r="BN105" s="31" t="str">
        <f t="shared" si="41"/>
        <v/>
      </c>
      <c r="BO105" s="31" t="str">
        <f t="shared" si="42"/>
        <v/>
      </c>
      <c r="BP105" s="31" t="str">
        <f t="shared" si="43"/>
        <v/>
      </c>
      <c r="BQ105" s="31" t="str">
        <f t="shared" si="44"/>
        <v/>
      </c>
      <c r="BR105" s="31" t="str">
        <f t="shared" si="45"/>
        <v/>
      </c>
      <c r="BS105" s="31" t="str">
        <f t="shared" si="46"/>
        <v>Y</v>
      </c>
      <c r="BT105" s="31" t="str">
        <f t="shared" si="47"/>
        <v/>
      </c>
      <c r="BU105" s="30" t="str">
        <f t="shared" si="48"/>
        <v/>
      </c>
      <c r="BV105" s="39" t="str">
        <f t="shared" si="49"/>
        <v>Y</v>
      </c>
      <c r="BW105" s="3" t="s">
        <v>207</v>
      </c>
    </row>
    <row r="106" spans="1:75" x14ac:dyDescent="0.35">
      <c r="A106" s="11" t="s">
        <v>104</v>
      </c>
      <c r="B106" s="3" t="s">
        <v>30</v>
      </c>
      <c r="C106" s="12"/>
      <c r="D106" s="59"/>
      <c r="E106" s="13"/>
      <c r="F106" s="13"/>
      <c r="G106" s="13"/>
      <c r="H106" s="13"/>
      <c r="I106" s="13"/>
      <c r="J106" s="13"/>
      <c r="K106" s="13"/>
      <c r="L106" s="13"/>
      <c r="N106" s="13"/>
      <c r="Q106" s="13"/>
      <c r="R106" s="13"/>
      <c r="S106" s="13"/>
      <c r="U106" s="28" t="s">
        <v>7</v>
      </c>
      <c r="V106" s="13"/>
      <c r="W106" s="13"/>
      <c r="X106" s="13"/>
      <c r="Y106" s="13"/>
      <c r="Z106" s="13"/>
      <c r="AA106" s="13"/>
      <c r="AB106" s="13"/>
      <c r="AD106" s="13"/>
      <c r="AE106" s="13"/>
      <c r="AF106" s="13"/>
      <c r="AG106" s="13"/>
      <c r="AH106" s="12"/>
      <c r="AI106" s="13"/>
      <c r="AJ106" s="14"/>
      <c r="AK106" s="13"/>
      <c r="AL106" s="13" t="s">
        <v>7</v>
      </c>
      <c r="AM106" s="15"/>
      <c r="AN106" s="149"/>
      <c r="AO106" s="14"/>
      <c r="AP106" s="14"/>
      <c r="AQ106" s="14" t="s">
        <v>7</v>
      </c>
      <c r="AR106" s="14"/>
      <c r="AS106" s="15"/>
      <c r="AT106" s="14"/>
      <c r="AU106" s="14"/>
      <c r="AV106" s="14" t="s">
        <v>7</v>
      </c>
      <c r="AW106" s="14"/>
      <c r="AX106" s="14"/>
      <c r="AY106" s="14"/>
      <c r="AZ106" s="14"/>
      <c r="BC106" s="31" t="str">
        <f t="shared" si="30"/>
        <v/>
      </c>
      <c r="BD106" s="31" t="str">
        <f t="shared" si="31"/>
        <v/>
      </c>
      <c r="BE106" s="31" t="str">
        <f t="shared" si="32"/>
        <v/>
      </c>
      <c r="BF106" s="31" t="str">
        <f t="shared" si="33"/>
        <v/>
      </c>
      <c r="BG106" s="31" t="str">
        <f t="shared" si="34"/>
        <v/>
      </c>
      <c r="BH106" s="31" t="str">
        <f t="shared" si="35"/>
        <v>Y</v>
      </c>
      <c r="BI106" s="31" t="str">
        <f t="shared" si="36"/>
        <v/>
      </c>
      <c r="BJ106" s="30" t="str">
        <f t="shared" si="37"/>
        <v/>
      </c>
      <c r="BK106" s="31" t="str">
        <f t="shared" si="38"/>
        <v>Y</v>
      </c>
      <c r="BL106" s="30" t="str">
        <f t="shared" si="39"/>
        <v/>
      </c>
      <c r="BM106" s="31" t="str">
        <f t="shared" si="40"/>
        <v/>
      </c>
      <c r="BN106" s="31" t="str">
        <f t="shared" si="41"/>
        <v/>
      </c>
      <c r="BO106" s="31" t="str">
        <f t="shared" si="42"/>
        <v/>
      </c>
      <c r="BP106" s="31" t="str">
        <f t="shared" si="43"/>
        <v/>
      </c>
      <c r="BQ106" s="31" t="str">
        <f t="shared" si="44"/>
        <v>Y</v>
      </c>
      <c r="BR106" s="31" t="str">
        <f t="shared" si="45"/>
        <v/>
      </c>
      <c r="BS106" s="31" t="str">
        <f t="shared" si="46"/>
        <v/>
      </c>
      <c r="BT106" s="31" t="str">
        <f t="shared" si="47"/>
        <v/>
      </c>
      <c r="BU106" s="30" t="str">
        <f t="shared" si="48"/>
        <v/>
      </c>
      <c r="BV106" s="39" t="str">
        <f t="shared" si="49"/>
        <v>Y</v>
      </c>
      <c r="BW106" s="3" t="s">
        <v>239</v>
      </c>
    </row>
    <row r="107" spans="1:75" x14ac:dyDescent="0.35">
      <c r="A107" s="11" t="s">
        <v>105</v>
      </c>
      <c r="B107" s="3" t="s">
        <v>24</v>
      </c>
      <c r="C107" s="12"/>
      <c r="D107" s="59"/>
      <c r="E107" s="13"/>
      <c r="F107" s="13"/>
      <c r="G107" s="13"/>
      <c r="H107" s="13"/>
      <c r="I107" s="13"/>
      <c r="J107" s="13"/>
      <c r="K107" s="13"/>
      <c r="L107" s="13"/>
      <c r="N107" s="13"/>
      <c r="Q107" s="13"/>
      <c r="R107" s="13"/>
      <c r="S107" s="13"/>
      <c r="V107" s="13"/>
      <c r="W107" s="13"/>
      <c r="X107" s="13"/>
      <c r="Y107" s="13"/>
      <c r="Z107" s="13" t="s">
        <v>7</v>
      </c>
      <c r="AA107" s="13"/>
      <c r="AB107" s="13"/>
      <c r="AD107" s="13"/>
      <c r="AE107" s="13"/>
      <c r="AF107" s="13"/>
      <c r="AG107" s="13"/>
      <c r="AH107" s="12"/>
      <c r="AI107" s="13"/>
      <c r="AJ107" s="14"/>
      <c r="AK107" s="13"/>
      <c r="AL107" s="13" t="s">
        <v>7</v>
      </c>
      <c r="AM107" s="15"/>
      <c r="AN107" s="149"/>
      <c r="AO107" s="14" t="s">
        <v>7</v>
      </c>
      <c r="AP107" s="14"/>
      <c r="AQ107" s="14"/>
      <c r="AR107" s="14"/>
      <c r="AS107" s="15"/>
      <c r="AT107" s="14"/>
      <c r="AU107" s="14"/>
      <c r="AV107" s="14"/>
      <c r="AW107" s="14"/>
      <c r="AX107" s="14"/>
      <c r="AY107" s="14"/>
      <c r="AZ107" s="14" t="s">
        <v>7</v>
      </c>
      <c r="BC107" s="31" t="str">
        <f t="shared" si="30"/>
        <v>Y</v>
      </c>
      <c r="BD107" s="31" t="str">
        <f t="shared" si="31"/>
        <v/>
      </c>
      <c r="BE107" s="31" t="str">
        <f t="shared" si="32"/>
        <v/>
      </c>
      <c r="BF107" s="31" t="str">
        <f t="shared" si="33"/>
        <v/>
      </c>
      <c r="BG107" s="31" t="str">
        <f t="shared" si="34"/>
        <v/>
      </c>
      <c r="BH107" s="31" t="str">
        <f t="shared" si="35"/>
        <v/>
      </c>
      <c r="BI107" s="31" t="str">
        <f t="shared" si="36"/>
        <v/>
      </c>
      <c r="BJ107" s="30" t="str">
        <f t="shared" si="37"/>
        <v>Y</v>
      </c>
      <c r="BK107" s="31" t="str">
        <f t="shared" si="38"/>
        <v/>
      </c>
      <c r="BL107" s="30" t="str">
        <f t="shared" si="39"/>
        <v/>
      </c>
      <c r="BM107" s="31" t="str">
        <f t="shared" si="40"/>
        <v/>
      </c>
      <c r="BN107" s="31" t="str">
        <f t="shared" si="41"/>
        <v>Y</v>
      </c>
      <c r="BO107" s="31" t="str">
        <f t="shared" si="42"/>
        <v/>
      </c>
      <c r="BP107" s="31" t="str">
        <f t="shared" si="43"/>
        <v/>
      </c>
      <c r="BQ107" s="31" t="str">
        <f t="shared" si="44"/>
        <v/>
      </c>
      <c r="BR107" s="31" t="str">
        <f t="shared" si="45"/>
        <v/>
      </c>
      <c r="BS107" s="31" t="str">
        <f t="shared" si="46"/>
        <v/>
      </c>
      <c r="BT107" s="31" t="str">
        <f t="shared" si="47"/>
        <v/>
      </c>
      <c r="BU107" s="30" t="str">
        <f t="shared" si="48"/>
        <v>Y</v>
      </c>
      <c r="BV107" s="39" t="str">
        <f t="shared" si="49"/>
        <v/>
      </c>
      <c r="BW107" s="3" t="s">
        <v>208</v>
      </c>
    </row>
    <row r="108" spans="1:75" x14ac:dyDescent="0.35">
      <c r="A108" s="11" t="s">
        <v>106</v>
      </c>
      <c r="B108" s="3" t="s">
        <v>18</v>
      </c>
      <c r="C108" s="12" t="s">
        <v>7</v>
      </c>
      <c r="D108" s="59"/>
      <c r="E108" s="13"/>
      <c r="F108" s="13"/>
      <c r="G108" s="13"/>
      <c r="H108" s="13"/>
      <c r="I108" s="13"/>
      <c r="J108" s="13"/>
      <c r="K108" s="13"/>
      <c r="L108" s="13"/>
      <c r="N108" s="13"/>
      <c r="Q108" s="13"/>
      <c r="R108" s="13"/>
      <c r="S108" s="13"/>
      <c r="V108" s="13"/>
      <c r="W108" s="13"/>
      <c r="X108" s="13"/>
      <c r="Y108" s="13"/>
      <c r="Z108" s="13"/>
      <c r="AA108" s="13"/>
      <c r="AB108" s="13"/>
      <c r="AD108" s="13"/>
      <c r="AE108" s="13"/>
      <c r="AF108" s="13"/>
      <c r="AG108" s="13"/>
      <c r="AH108" s="12"/>
      <c r="AI108" s="13"/>
      <c r="AJ108" s="14"/>
      <c r="AK108" s="13" t="s">
        <v>7</v>
      </c>
      <c r="AL108" s="13"/>
      <c r="AM108" s="15"/>
      <c r="AN108" s="149"/>
      <c r="AO108" s="14"/>
      <c r="AP108" s="14"/>
      <c r="AQ108" s="14" t="s">
        <v>7</v>
      </c>
      <c r="AR108" s="14"/>
      <c r="AS108" s="15"/>
      <c r="AT108" s="14" t="s">
        <v>7</v>
      </c>
      <c r="AU108" s="14"/>
      <c r="AV108" s="14"/>
      <c r="AW108" s="14"/>
      <c r="AX108" s="14"/>
      <c r="AY108" s="14"/>
      <c r="AZ108" s="14"/>
      <c r="BC108" s="31" t="str">
        <f t="shared" si="30"/>
        <v/>
      </c>
      <c r="BD108" s="31" t="str">
        <f t="shared" si="31"/>
        <v/>
      </c>
      <c r="BE108" s="31" t="str">
        <f t="shared" si="32"/>
        <v/>
      </c>
      <c r="BF108" s="31" t="str">
        <f t="shared" si="33"/>
        <v/>
      </c>
      <c r="BG108" s="31" t="str">
        <f t="shared" si="34"/>
        <v>Y</v>
      </c>
      <c r="BH108" s="31" t="str">
        <f t="shared" si="35"/>
        <v/>
      </c>
      <c r="BI108" s="31" t="str">
        <f t="shared" si="36"/>
        <v/>
      </c>
      <c r="BJ108" s="30" t="str">
        <f t="shared" si="37"/>
        <v/>
      </c>
      <c r="BK108" s="31" t="str">
        <f t="shared" si="38"/>
        <v>Y</v>
      </c>
      <c r="BL108" s="30" t="str">
        <f t="shared" si="39"/>
        <v/>
      </c>
      <c r="BM108" s="31" t="str">
        <f t="shared" si="40"/>
        <v/>
      </c>
      <c r="BN108" s="31" t="str">
        <f t="shared" si="41"/>
        <v/>
      </c>
      <c r="BO108" s="31" t="str">
        <f t="shared" si="42"/>
        <v>Y</v>
      </c>
      <c r="BP108" s="31" t="str">
        <f t="shared" si="43"/>
        <v/>
      </c>
      <c r="BQ108" s="31" t="str">
        <f t="shared" si="44"/>
        <v/>
      </c>
      <c r="BR108" s="31" t="str">
        <f t="shared" si="45"/>
        <v/>
      </c>
      <c r="BS108" s="31" t="str">
        <f t="shared" si="46"/>
        <v/>
      </c>
      <c r="BT108" s="31" t="str">
        <f t="shared" si="47"/>
        <v/>
      </c>
      <c r="BU108" s="30" t="str">
        <f t="shared" si="48"/>
        <v>Y</v>
      </c>
      <c r="BV108" s="39" t="str">
        <f t="shared" si="49"/>
        <v/>
      </c>
      <c r="BW108" s="3" t="s">
        <v>235</v>
      </c>
    </row>
    <row r="109" spans="1:75" ht="29" x14ac:dyDescent="0.35">
      <c r="A109" s="11" t="s">
        <v>107</v>
      </c>
      <c r="B109" s="3" t="s">
        <v>18</v>
      </c>
      <c r="C109" s="12" t="s">
        <v>7</v>
      </c>
      <c r="D109" s="59"/>
      <c r="E109" s="13"/>
      <c r="F109" s="13"/>
      <c r="G109" s="13"/>
      <c r="H109" s="13" t="s">
        <v>7</v>
      </c>
      <c r="I109" s="13"/>
      <c r="J109" s="13"/>
      <c r="K109" s="13"/>
      <c r="L109" s="13"/>
      <c r="N109" s="13"/>
      <c r="Q109" s="13"/>
      <c r="R109" s="13"/>
      <c r="S109" s="13"/>
      <c r="V109" s="13"/>
      <c r="W109" s="13"/>
      <c r="X109" s="13"/>
      <c r="Y109" s="13"/>
      <c r="Z109" s="13"/>
      <c r="AA109" s="13"/>
      <c r="AB109" s="13"/>
      <c r="AD109" s="13"/>
      <c r="AE109" s="13"/>
      <c r="AF109" s="13"/>
      <c r="AG109" s="13"/>
      <c r="AH109" s="12"/>
      <c r="AI109" s="13"/>
      <c r="AJ109" s="14"/>
      <c r="AK109" s="13" t="s">
        <v>7</v>
      </c>
      <c r="AL109" s="13"/>
      <c r="AM109" s="15"/>
      <c r="AN109" s="149"/>
      <c r="AO109" s="14"/>
      <c r="AP109" s="14"/>
      <c r="AQ109" s="14" t="s">
        <v>7</v>
      </c>
      <c r="AR109" s="14"/>
      <c r="AS109" s="15"/>
      <c r="AT109" s="14" t="s">
        <v>7</v>
      </c>
      <c r="AU109" s="14"/>
      <c r="AV109" s="14"/>
      <c r="AW109" s="14"/>
      <c r="AX109" s="14"/>
      <c r="AY109" s="14"/>
      <c r="AZ109" s="14"/>
      <c r="BC109" s="31" t="str">
        <f t="shared" si="30"/>
        <v/>
      </c>
      <c r="BD109" s="31" t="str">
        <f t="shared" si="31"/>
        <v/>
      </c>
      <c r="BE109" s="31" t="str">
        <f t="shared" si="32"/>
        <v/>
      </c>
      <c r="BF109" s="31" t="str">
        <f t="shared" si="33"/>
        <v/>
      </c>
      <c r="BG109" s="31" t="str">
        <f t="shared" si="34"/>
        <v>Y</v>
      </c>
      <c r="BH109" s="31" t="str">
        <f t="shared" si="35"/>
        <v/>
      </c>
      <c r="BI109" s="31" t="str">
        <f t="shared" si="36"/>
        <v>Y</v>
      </c>
      <c r="BJ109" s="30" t="str">
        <f t="shared" si="37"/>
        <v/>
      </c>
      <c r="BK109" s="31" t="str">
        <f t="shared" si="38"/>
        <v>Y</v>
      </c>
      <c r="BL109" s="30" t="str">
        <f t="shared" si="39"/>
        <v/>
      </c>
      <c r="BM109" s="31" t="str">
        <f t="shared" si="40"/>
        <v/>
      </c>
      <c r="BN109" s="31" t="str">
        <f t="shared" si="41"/>
        <v/>
      </c>
      <c r="BO109" s="31" t="str">
        <f t="shared" si="42"/>
        <v>Y</v>
      </c>
      <c r="BP109" s="31" t="str">
        <f t="shared" si="43"/>
        <v/>
      </c>
      <c r="BQ109" s="31" t="str">
        <f t="shared" si="44"/>
        <v/>
      </c>
      <c r="BR109" s="31" t="str">
        <f t="shared" si="45"/>
        <v/>
      </c>
      <c r="BS109" s="31" t="str">
        <f t="shared" si="46"/>
        <v>Y</v>
      </c>
      <c r="BT109" s="31" t="str">
        <f t="shared" si="47"/>
        <v/>
      </c>
      <c r="BU109" s="30" t="str">
        <f t="shared" si="48"/>
        <v>Y</v>
      </c>
      <c r="BV109" s="39" t="str">
        <f t="shared" si="49"/>
        <v>Y</v>
      </c>
      <c r="BW109" s="3" t="s">
        <v>245</v>
      </c>
    </row>
    <row r="110" spans="1:75" x14ac:dyDescent="0.35">
      <c r="A110" s="11" t="s">
        <v>108</v>
      </c>
      <c r="B110" s="3" t="s">
        <v>232</v>
      </c>
      <c r="C110" s="12"/>
      <c r="D110" s="59"/>
      <c r="E110" s="13"/>
      <c r="F110" s="13"/>
      <c r="G110" s="13"/>
      <c r="H110" s="13"/>
      <c r="I110" s="13"/>
      <c r="J110" s="13"/>
      <c r="K110" s="13"/>
      <c r="L110" s="13"/>
      <c r="N110" s="13"/>
      <c r="P110" s="13" t="s">
        <v>7</v>
      </c>
      <c r="Q110" s="13"/>
      <c r="R110" s="13"/>
      <c r="S110" s="13"/>
      <c r="V110" s="13"/>
      <c r="W110" s="13"/>
      <c r="X110" s="13"/>
      <c r="Y110" s="13"/>
      <c r="Z110" s="13"/>
      <c r="AA110" s="13"/>
      <c r="AB110" s="13"/>
      <c r="AD110" s="13"/>
      <c r="AE110" s="13"/>
      <c r="AF110" s="13"/>
      <c r="AG110" s="13"/>
      <c r="AH110" s="12"/>
      <c r="AI110" s="13"/>
      <c r="AJ110" s="14" t="s">
        <v>7</v>
      </c>
      <c r="AK110" s="13"/>
      <c r="AL110" s="13"/>
      <c r="AM110" s="15"/>
      <c r="AN110" s="149"/>
      <c r="AO110" s="14"/>
      <c r="AP110" s="14"/>
      <c r="AQ110" s="14" t="s">
        <v>7</v>
      </c>
      <c r="AR110" s="14"/>
      <c r="AS110" s="15"/>
      <c r="AT110" s="14"/>
      <c r="AU110" s="14"/>
      <c r="AV110" s="14" t="s">
        <v>7</v>
      </c>
      <c r="AW110" s="14"/>
      <c r="AX110" s="14"/>
      <c r="AY110" s="14"/>
      <c r="AZ110" s="14"/>
      <c r="BC110" s="31" t="str">
        <f t="shared" si="30"/>
        <v>Y</v>
      </c>
      <c r="BD110" s="31" t="str">
        <f t="shared" si="31"/>
        <v/>
      </c>
      <c r="BE110" s="31" t="str">
        <f t="shared" si="32"/>
        <v/>
      </c>
      <c r="BF110" s="31" t="str">
        <f t="shared" si="33"/>
        <v/>
      </c>
      <c r="BG110" s="31" t="str">
        <f t="shared" si="34"/>
        <v/>
      </c>
      <c r="BH110" s="31" t="str">
        <f t="shared" si="35"/>
        <v/>
      </c>
      <c r="BI110" s="31" t="str">
        <f t="shared" si="36"/>
        <v/>
      </c>
      <c r="BJ110" s="30" t="str">
        <f t="shared" si="37"/>
        <v>Y</v>
      </c>
      <c r="BK110" s="31" t="str">
        <f t="shared" si="38"/>
        <v/>
      </c>
      <c r="BL110" s="30" t="str">
        <f t="shared" si="39"/>
        <v>Y</v>
      </c>
      <c r="BM110" s="31" t="str">
        <f t="shared" si="40"/>
        <v/>
      </c>
      <c r="BN110" s="31" t="str">
        <f t="shared" si="41"/>
        <v/>
      </c>
      <c r="BO110" s="31" t="str">
        <f t="shared" si="42"/>
        <v/>
      </c>
      <c r="BP110" s="31" t="str">
        <f t="shared" si="43"/>
        <v/>
      </c>
      <c r="BQ110" s="31" t="str">
        <f t="shared" si="44"/>
        <v/>
      </c>
      <c r="BR110" s="31" t="str">
        <f t="shared" si="45"/>
        <v/>
      </c>
      <c r="BS110" s="31" t="str">
        <f t="shared" si="46"/>
        <v/>
      </c>
      <c r="BT110" s="31" t="str">
        <f t="shared" si="47"/>
        <v/>
      </c>
      <c r="BU110" s="30" t="str">
        <f t="shared" si="48"/>
        <v>Y</v>
      </c>
      <c r="BV110" s="39" t="str">
        <f t="shared" si="49"/>
        <v/>
      </c>
      <c r="BW110" s="3" t="s">
        <v>200</v>
      </c>
    </row>
    <row r="111" spans="1:75" x14ac:dyDescent="0.35">
      <c r="A111" s="11" t="s">
        <v>109</v>
      </c>
      <c r="B111" s="3" t="s">
        <v>30</v>
      </c>
      <c r="C111" s="12"/>
      <c r="D111" s="59"/>
      <c r="E111" s="13"/>
      <c r="F111" s="13"/>
      <c r="G111" s="13"/>
      <c r="H111" s="13"/>
      <c r="I111" s="13"/>
      <c r="J111" s="13"/>
      <c r="K111" s="13"/>
      <c r="L111" s="13"/>
      <c r="N111" s="13"/>
      <c r="P111" s="13" t="s">
        <v>7</v>
      </c>
      <c r="Q111" s="13"/>
      <c r="R111" s="13"/>
      <c r="S111" s="13"/>
      <c r="V111" s="13"/>
      <c r="W111" s="13"/>
      <c r="X111" s="13"/>
      <c r="Y111" s="13"/>
      <c r="Z111" s="13"/>
      <c r="AA111" s="13"/>
      <c r="AB111" s="13"/>
      <c r="AD111" s="13"/>
      <c r="AE111" s="13"/>
      <c r="AF111" s="13"/>
      <c r="AG111" s="13"/>
      <c r="AH111" s="12"/>
      <c r="AI111" s="13"/>
      <c r="AJ111" s="14" t="s">
        <v>7</v>
      </c>
      <c r="AK111" s="13"/>
      <c r="AL111" s="13"/>
      <c r="AM111" s="15"/>
      <c r="AN111" s="149"/>
      <c r="AO111" s="14"/>
      <c r="AP111" s="14"/>
      <c r="AQ111" s="14" t="s">
        <v>7</v>
      </c>
      <c r="AR111" s="14"/>
      <c r="AS111" s="15"/>
      <c r="AT111" s="14"/>
      <c r="AU111" s="14"/>
      <c r="AV111" s="14" t="s">
        <v>7</v>
      </c>
      <c r="AW111" s="14"/>
      <c r="AX111" s="14"/>
      <c r="AY111" s="14"/>
      <c r="AZ111" s="14"/>
      <c r="BC111" s="31" t="str">
        <f t="shared" si="30"/>
        <v>Y</v>
      </c>
      <c r="BD111" s="31" t="str">
        <f t="shared" si="31"/>
        <v/>
      </c>
      <c r="BE111" s="31" t="str">
        <f t="shared" si="32"/>
        <v/>
      </c>
      <c r="BF111" s="31" t="str">
        <f t="shared" si="33"/>
        <v/>
      </c>
      <c r="BG111" s="31" t="str">
        <f t="shared" si="34"/>
        <v/>
      </c>
      <c r="BH111" s="31" t="str">
        <f t="shared" si="35"/>
        <v/>
      </c>
      <c r="BI111" s="31" t="str">
        <f t="shared" si="36"/>
        <v/>
      </c>
      <c r="BJ111" s="30" t="str">
        <f t="shared" si="37"/>
        <v>Y</v>
      </c>
      <c r="BK111" s="31" t="str">
        <f t="shared" si="38"/>
        <v/>
      </c>
      <c r="BL111" s="30" t="str">
        <f t="shared" si="39"/>
        <v>Y</v>
      </c>
      <c r="BM111" s="31" t="str">
        <f t="shared" si="40"/>
        <v/>
      </c>
      <c r="BN111" s="31" t="str">
        <f t="shared" si="41"/>
        <v/>
      </c>
      <c r="BO111" s="31" t="str">
        <f t="shared" si="42"/>
        <v/>
      </c>
      <c r="BP111" s="31" t="str">
        <f t="shared" si="43"/>
        <v/>
      </c>
      <c r="BQ111" s="31" t="str">
        <f t="shared" si="44"/>
        <v/>
      </c>
      <c r="BR111" s="31" t="str">
        <f t="shared" si="45"/>
        <v/>
      </c>
      <c r="BS111" s="31" t="str">
        <f t="shared" si="46"/>
        <v/>
      </c>
      <c r="BT111" s="31" t="str">
        <f t="shared" si="47"/>
        <v/>
      </c>
      <c r="BU111" s="30" t="str">
        <f t="shared" si="48"/>
        <v>Y</v>
      </c>
      <c r="BV111" s="39" t="str">
        <f t="shared" si="49"/>
        <v/>
      </c>
      <c r="BW111" s="3" t="s">
        <v>184</v>
      </c>
    </row>
    <row r="112" spans="1:75" x14ac:dyDescent="0.35">
      <c r="A112" s="11" t="s">
        <v>110</v>
      </c>
      <c r="B112" s="3" t="s">
        <v>384</v>
      </c>
      <c r="C112" s="12"/>
      <c r="D112" s="59"/>
      <c r="E112" s="13"/>
      <c r="F112" s="13"/>
      <c r="G112" s="13"/>
      <c r="H112" s="13"/>
      <c r="I112" s="13"/>
      <c r="J112" s="13"/>
      <c r="K112" s="13"/>
      <c r="L112" s="13"/>
      <c r="N112" s="13"/>
      <c r="Q112" s="13"/>
      <c r="R112" s="13" t="s">
        <v>7</v>
      </c>
      <c r="S112" s="13"/>
      <c r="V112" s="13"/>
      <c r="W112" s="13"/>
      <c r="X112" s="13"/>
      <c r="Y112" s="13"/>
      <c r="Z112" s="13"/>
      <c r="AA112" s="13"/>
      <c r="AB112" s="13"/>
      <c r="AD112" s="13"/>
      <c r="AE112" s="13"/>
      <c r="AF112" s="13"/>
      <c r="AG112" s="13"/>
      <c r="AH112" s="12"/>
      <c r="AI112" s="13"/>
      <c r="AJ112" s="14"/>
      <c r="AK112" s="13"/>
      <c r="AL112" s="13" t="s">
        <v>7</v>
      </c>
      <c r="AM112" s="15"/>
      <c r="AN112" s="149"/>
      <c r="AO112" s="14"/>
      <c r="AP112" s="14"/>
      <c r="AQ112" s="14" t="s">
        <v>7</v>
      </c>
      <c r="AR112" s="14"/>
      <c r="AS112" s="15"/>
      <c r="AT112" s="14"/>
      <c r="AU112" s="14" t="s">
        <v>7</v>
      </c>
      <c r="AV112" s="14"/>
      <c r="AW112" s="14"/>
      <c r="AX112" s="14"/>
      <c r="AY112" s="14"/>
      <c r="AZ112" s="14"/>
      <c r="BC112" s="31" t="str">
        <f t="shared" si="30"/>
        <v/>
      </c>
      <c r="BD112" s="31" t="str">
        <f t="shared" si="31"/>
        <v/>
      </c>
      <c r="BE112" s="31" t="str">
        <f t="shared" si="32"/>
        <v/>
      </c>
      <c r="BF112" s="31" t="str">
        <f t="shared" si="33"/>
        <v>Y</v>
      </c>
      <c r="BG112" s="31" t="str">
        <f t="shared" si="34"/>
        <v/>
      </c>
      <c r="BH112" s="31" t="str">
        <f t="shared" si="35"/>
        <v/>
      </c>
      <c r="BI112" s="31" t="str">
        <f t="shared" si="36"/>
        <v/>
      </c>
      <c r="BJ112" s="30" t="str">
        <f t="shared" si="37"/>
        <v/>
      </c>
      <c r="BK112" s="31" t="str">
        <f t="shared" si="38"/>
        <v>Y</v>
      </c>
      <c r="BL112" s="30" t="str">
        <f t="shared" si="39"/>
        <v/>
      </c>
      <c r="BM112" s="31" t="str">
        <f t="shared" si="40"/>
        <v/>
      </c>
      <c r="BN112" s="31" t="str">
        <f t="shared" si="41"/>
        <v/>
      </c>
      <c r="BO112" s="31" t="str">
        <f t="shared" si="42"/>
        <v/>
      </c>
      <c r="BP112" s="31" t="str">
        <f t="shared" si="43"/>
        <v/>
      </c>
      <c r="BQ112" s="31" t="str">
        <f t="shared" si="44"/>
        <v/>
      </c>
      <c r="BR112" s="31" t="str">
        <f t="shared" si="45"/>
        <v/>
      </c>
      <c r="BS112" s="31" t="str">
        <f t="shared" si="46"/>
        <v/>
      </c>
      <c r="BT112" s="31" t="str">
        <f t="shared" si="47"/>
        <v>Y</v>
      </c>
      <c r="BU112" s="30" t="str">
        <f t="shared" si="48"/>
        <v/>
      </c>
      <c r="BV112" s="39" t="str">
        <f t="shared" si="49"/>
        <v>Y</v>
      </c>
      <c r="BW112" s="3" t="s">
        <v>246</v>
      </c>
    </row>
    <row r="113" spans="1:75" x14ac:dyDescent="0.35">
      <c r="A113" s="11" t="s">
        <v>111</v>
      </c>
      <c r="B113" s="3" t="s">
        <v>62</v>
      </c>
      <c r="C113" s="12"/>
      <c r="D113" s="59"/>
      <c r="E113" s="13"/>
      <c r="F113" s="13"/>
      <c r="G113" s="13"/>
      <c r="H113" s="13" t="s">
        <v>7</v>
      </c>
      <c r="I113" s="13"/>
      <c r="J113" s="13"/>
      <c r="K113" s="13"/>
      <c r="L113" s="13"/>
      <c r="N113" s="13"/>
      <c r="Q113" s="13"/>
      <c r="R113" s="13"/>
      <c r="S113" s="13"/>
      <c r="V113" s="13"/>
      <c r="W113" s="13"/>
      <c r="X113" s="13"/>
      <c r="Y113" s="13"/>
      <c r="Z113" s="13"/>
      <c r="AA113" s="13"/>
      <c r="AB113" s="13"/>
      <c r="AD113" s="13"/>
      <c r="AE113" s="13"/>
      <c r="AF113" s="13"/>
      <c r="AG113" s="13"/>
      <c r="AH113" s="12"/>
      <c r="AI113" s="13"/>
      <c r="AJ113" s="14"/>
      <c r="AK113" s="13" t="s">
        <v>7</v>
      </c>
      <c r="AL113" s="13"/>
      <c r="AM113" s="15"/>
      <c r="AN113" s="149"/>
      <c r="AO113" s="14"/>
      <c r="AP113" s="14"/>
      <c r="AQ113" s="14" t="s">
        <v>7</v>
      </c>
      <c r="AR113" s="14"/>
      <c r="AS113" s="15"/>
      <c r="AT113" s="14"/>
      <c r="AU113" s="14"/>
      <c r="AV113" s="14"/>
      <c r="AW113" s="14" t="s">
        <v>7</v>
      </c>
      <c r="AX113" s="14"/>
      <c r="AY113" s="14"/>
      <c r="AZ113" s="14"/>
      <c r="BC113" s="31" t="str">
        <f t="shared" si="30"/>
        <v/>
      </c>
      <c r="BD113" s="31" t="str">
        <f t="shared" si="31"/>
        <v/>
      </c>
      <c r="BE113" s="31" t="str">
        <f t="shared" si="32"/>
        <v/>
      </c>
      <c r="BF113" s="31" t="str">
        <f t="shared" si="33"/>
        <v/>
      </c>
      <c r="BG113" s="31" t="str">
        <f t="shared" si="34"/>
        <v/>
      </c>
      <c r="BH113" s="31" t="str">
        <f t="shared" si="35"/>
        <v/>
      </c>
      <c r="BI113" s="31" t="str">
        <f t="shared" si="36"/>
        <v>Y</v>
      </c>
      <c r="BJ113" s="30" t="str">
        <f t="shared" si="37"/>
        <v/>
      </c>
      <c r="BK113" s="31" t="str">
        <f t="shared" si="38"/>
        <v>Y</v>
      </c>
      <c r="BL113" s="30" t="str">
        <f t="shared" si="39"/>
        <v/>
      </c>
      <c r="BM113" s="31" t="str">
        <f t="shared" si="40"/>
        <v/>
      </c>
      <c r="BN113" s="31" t="str">
        <f t="shared" si="41"/>
        <v/>
      </c>
      <c r="BO113" s="31" t="str">
        <f t="shared" si="42"/>
        <v/>
      </c>
      <c r="BP113" s="31" t="str">
        <f t="shared" si="43"/>
        <v/>
      </c>
      <c r="BQ113" s="31" t="str">
        <f t="shared" si="44"/>
        <v/>
      </c>
      <c r="BR113" s="31" t="str">
        <f t="shared" si="45"/>
        <v/>
      </c>
      <c r="BS113" s="31" t="str">
        <f t="shared" si="46"/>
        <v>Y</v>
      </c>
      <c r="BT113" s="31" t="str">
        <f t="shared" si="47"/>
        <v/>
      </c>
      <c r="BU113" s="30" t="str">
        <f t="shared" si="48"/>
        <v/>
      </c>
      <c r="BV113" s="39" t="str">
        <f t="shared" si="49"/>
        <v>Y</v>
      </c>
      <c r="BW113" s="3" t="s">
        <v>235</v>
      </c>
    </row>
    <row r="114" spans="1:75" x14ac:dyDescent="0.35">
      <c r="A114" s="11" t="s">
        <v>112</v>
      </c>
      <c r="B114" s="3" t="s">
        <v>46</v>
      </c>
      <c r="C114" s="12"/>
      <c r="D114" s="59"/>
      <c r="E114" s="13"/>
      <c r="F114" s="13"/>
      <c r="G114" s="13"/>
      <c r="H114" s="13"/>
      <c r="I114" s="13"/>
      <c r="J114" s="13"/>
      <c r="K114" s="13"/>
      <c r="L114" s="13"/>
      <c r="N114" s="13"/>
      <c r="Q114" s="13"/>
      <c r="R114" s="13"/>
      <c r="S114" s="13" t="s">
        <v>7</v>
      </c>
      <c r="V114" s="13"/>
      <c r="W114" s="13"/>
      <c r="X114" s="13"/>
      <c r="Y114" s="13"/>
      <c r="Z114" s="13"/>
      <c r="AA114" s="13"/>
      <c r="AB114" s="13"/>
      <c r="AD114" s="13"/>
      <c r="AE114" s="13"/>
      <c r="AF114" s="13"/>
      <c r="AG114" s="13"/>
      <c r="AH114" s="12" t="s">
        <v>7</v>
      </c>
      <c r="AI114" s="13"/>
      <c r="AJ114" s="14"/>
      <c r="AK114" s="13"/>
      <c r="AL114" s="13"/>
      <c r="AM114" s="15"/>
      <c r="AN114" s="149"/>
      <c r="AO114" s="14"/>
      <c r="AP114" s="14"/>
      <c r="AQ114" s="14" t="s">
        <v>7</v>
      </c>
      <c r="AR114" s="14"/>
      <c r="AS114" s="15"/>
      <c r="AT114" s="14"/>
      <c r="AU114" s="14"/>
      <c r="AV114" s="14"/>
      <c r="AW114" s="14"/>
      <c r="AX114" s="14"/>
      <c r="AY114" s="14"/>
      <c r="AZ114" s="14" t="s">
        <v>7</v>
      </c>
      <c r="BC114" s="31" t="str">
        <f t="shared" si="30"/>
        <v/>
      </c>
      <c r="BD114" s="31" t="str">
        <f t="shared" si="31"/>
        <v/>
      </c>
      <c r="BE114" s="31" t="str">
        <f t="shared" si="32"/>
        <v/>
      </c>
      <c r="BF114" s="31" t="str">
        <f t="shared" si="33"/>
        <v/>
      </c>
      <c r="BG114" s="31" t="str">
        <f t="shared" si="34"/>
        <v/>
      </c>
      <c r="BH114" s="31" t="str">
        <f t="shared" si="35"/>
        <v/>
      </c>
      <c r="BI114" s="31" t="str">
        <f t="shared" si="36"/>
        <v>Y</v>
      </c>
      <c r="BJ114" s="30" t="str">
        <f t="shared" si="37"/>
        <v/>
      </c>
      <c r="BK114" s="31" t="str">
        <f t="shared" si="38"/>
        <v>Y</v>
      </c>
      <c r="BL114" s="30" t="str">
        <f t="shared" si="39"/>
        <v/>
      </c>
      <c r="BM114" s="31" t="str">
        <f t="shared" si="40"/>
        <v/>
      </c>
      <c r="BN114" s="31" t="str">
        <f t="shared" si="41"/>
        <v/>
      </c>
      <c r="BO114" s="31" t="str">
        <f t="shared" si="42"/>
        <v/>
      </c>
      <c r="BP114" s="31" t="str">
        <f t="shared" si="43"/>
        <v/>
      </c>
      <c r="BQ114" s="31" t="str">
        <f t="shared" si="44"/>
        <v>Y</v>
      </c>
      <c r="BR114" s="31" t="str">
        <f t="shared" si="45"/>
        <v/>
      </c>
      <c r="BS114" s="31" t="str">
        <f t="shared" si="46"/>
        <v/>
      </c>
      <c r="BT114" s="31" t="str">
        <f t="shared" si="47"/>
        <v/>
      </c>
      <c r="BU114" s="30" t="str">
        <f t="shared" si="48"/>
        <v/>
      </c>
      <c r="BV114" s="39" t="str">
        <f t="shared" si="49"/>
        <v>Y</v>
      </c>
      <c r="BW114" s="3" t="s">
        <v>205</v>
      </c>
    </row>
    <row r="115" spans="1:75" x14ac:dyDescent="0.35">
      <c r="A115" s="11" t="s">
        <v>113</v>
      </c>
      <c r="B115" s="3" t="s">
        <v>46</v>
      </c>
      <c r="C115" s="12" t="s">
        <v>7</v>
      </c>
      <c r="D115" s="59"/>
      <c r="E115" s="13"/>
      <c r="F115" s="13"/>
      <c r="G115" s="13"/>
      <c r="H115" s="13"/>
      <c r="I115" s="13"/>
      <c r="J115" s="13"/>
      <c r="K115" s="13"/>
      <c r="L115" s="13"/>
      <c r="N115" s="13"/>
      <c r="Q115" s="13"/>
      <c r="R115" s="13"/>
      <c r="S115" s="13"/>
      <c r="V115" s="13"/>
      <c r="W115" s="13"/>
      <c r="X115" s="13"/>
      <c r="Y115" s="13"/>
      <c r="Z115" s="13"/>
      <c r="AA115" s="13"/>
      <c r="AB115" s="13"/>
      <c r="AD115" s="13"/>
      <c r="AE115" s="13"/>
      <c r="AF115" s="13"/>
      <c r="AG115" s="13"/>
      <c r="AH115" s="12"/>
      <c r="AI115" s="13"/>
      <c r="AJ115" s="14"/>
      <c r="AK115" s="13" t="s">
        <v>7</v>
      </c>
      <c r="AL115" s="13"/>
      <c r="AM115" s="15"/>
      <c r="AN115" s="149"/>
      <c r="AO115" s="14"/>
      <c r="AP115" s="14"/>
      <c r="AQ115" s="14" t="s">
        <v>7</v>
      </c>
      <c r="AR115" s="14"/>
      <c r="AS115" s="15"/>
      <c r="AT115" s="14"/>
      <c r="AU115" s="14"/>
      <c r="AV115" s="14"/>
      <c r="AW115" s="14"/>
      <c r="AX115" s="14"/>
      <c r="AY115" s="14"/>
      <c r="AZ115" s="14" t="s">
        <v>7</v>
      </c>
      <c r="BC115" s="31" t="str">
        <f t="shared" si="30"/>
        <v/>
      </c>
      <c r="BD115" s="31" t="str">
        <f t="shared" si="31"/>
        <v/>
      </c>
      <c r="BE115" s="31" t="str">
        <f t="shared" si="32"/>
        <v/>
      </c>
      <c r="BF115" s="31" t="str">
        <f t="shared" si="33"/>
        <v/>
      </c>
      <c r="BG115" s="31" t="str">
        <f t="shared" si="34"/>
        <v>Y</v>
      </c>
      <c r="BH115" s="31" t="str">
        <f t="shared" si="35"/>
        <v/>
      </c>
      <c r="BI115" s="31" t="str">
        <f t="shared" si="36"/>
        <v/>
      </c>
      <c r="BJ115" s="30" t="str">
        <f t="shared" si="37"/>
        <v/>
      </c>
      <c r="BK115" s="31" t="str">
        <f t="shared" si="38"/>
        <v>Y</v>
      </c>
      <c r="BL115" s="30" t="str">
        <f t="shared" si="39"/>
        <v/>
      </c>
      <c r="BM115" s="31" t="str">
        <f t="shared" si="40"/>
        <v/>
      </c>
      <c r="BN115" s="31" t="str">
        <f t="shared" si="41"/>
        <v/>
      </c>
      <c r="BO115" s="31" t="str">
        <f t="shared" si="42"/>
        <v>Y</v>
      </c>
      <c r="BP115" s="31" t="str">
        <f t="shared" si="43"/>
        <v/>
      </c>
      <c r="BQ115" s="31" t="str">
        <f t="shared" si="44"/>
        <v/>
      </c>
      <c r="BR115" s="31" t="str">
        <f t="shared" si="45"/>
        <v/>
      </c>
      <c r="BS115" s="31" t="str">
        <f t="shared" si="46"/>
        <v/>
      </c>
      <c r="BT115" s="31" t="str">
        <f t="shared" si="47"/>
        <v/>
      </c>
      <c r="BU115" s="30" t="str">
        <f t="shared" si="48"/>
        <v>Y</v>
      </c>
      <c r="BV115" s="39" t="str">
        <f t="shared" si="49"/>
        <v/>
      </c>
      <c r="BW115" s="3" t="s">
        <v>239</v>
      </c>
    </row>
    <row r="116" spans="1:75" x14ac:dyDescent="0.35">
      <c r="A116" s="11" t="s">
        <v>114</v>
      </c>
      <c r="B116" s="3" t="s">
        <v>14</v>
      </c>
      <c r="C116" s="12"/>
      <c r="D116" s="59"/>
      <c r="E116" s="13"/>
      <c r="F116" s="13"/>
      <c r="G116" s="13"/>
      <c r="H116" s="13" t="s">
        <v>7</v>
      </c>
      <c r="I116" s="13"/>
      <c r="J116" s="13"/>
      <c r="K116" s="13"/>
      <c r="L116" s="13"/>
      <c r="N116" s="13"/>
      <c r="Q116" s="13"/>
      <c r="R116" s="13"/>
      <c r="S116" s="13"/>
      <c r="V116" s="13"/>
      <c r="W116" s="13"/>
      <c r="X116" s="13"/>
      <c r="Y116" s="13"/>
      <c r="Z116" s="13"/>
      <c r="AA116" s="13"/>
      <c r="AB116" s="13"/>
      <c r="AD116" s="13"/>
      <c r="AE116" s="13"/>
      <c r="AF116" s="13"/>
      <c r="AG116" s="13"/>
      <c r="AH116" s="12"/>
      <c r="AI116" s="13"/>
      <c r="AJ116" s="14"/>
      <c r="AK116" s="13" t="s">
        <v>7</v>
      </c>
      <c r="AL116" s="13"/>
      <c r="AM116" s="15"/>
      <c r="AN116" s="149"/>
      <c r="AO116" s="14"/>
      <c r="AP116" s="14"/>
      <c r="AQ116" s="14" t="s">
        <v>7</v>
      </c>
      <c r="AR116" s="14"/>
      <c r="AS116" s="15"/>
      <c r="AT116" s="14"/>
      <c r="AU116" s="14"/>
      <c r="AV116" s="14"/>
      <c r="AW116" s="14"/>
      <c r="AX116" s="14"/>
      <c r="AY116" s="14" t="s">
        <v>7</v>
      </c>
      <c r="AZ116" s="14"/>
      <c r="BC116" s="31" t="str">
        <f t="shared" si="30"/>
        <v/>
      </c>
      <c r="BD116" s="31" t="str">
        <f t="shared" si="31"/>
        <v/>
      </c>
      <c r="BE116" s="31" t="str">
        <f t="shared" si="32"/>
        <v/>
      </c>
      <c r="BF116" s="31" t="str">
        <f t="shared" si="33"/>
        <v/>
      </c>
      <c r="BG116" s="31" t="str">
        <f t="shared" si="34"/>
        <v/>
      </c>
      <c r="BH116" s="31" t="str">
        <f t="shared" si="35"/>
        <v/>
      </c>
      <c r="BI116" s="31" t="str">
        <f t="shared" si="36"/>
        <v>Y</v>
      </c>
      <c r="BJ116" s="30" t="str">
        <f t="shared" si="37"/>
        <v/>
      </c>
      <c r="BK116" s="31" t="str">
        <f t="shared" si="38"/>
        <v>Y</v>
      </c>
      <c r="BL116" s="30" t="str">
        <f t="shared" si="39"/>
        <v/>
      </c>
      <c r="BM116" s="31" t="str">
        <f t="shared" si="40"/>
        <v/>
      </c>
      <c r="BN116" s="31" t="str">
        <f t="shared" si="41"/>
        <v/>
      </c>
      <c r="BO116" s="31" t="str">
        <f t="shared" si="42"/>
        <v/>
      </c>
      <c r="BP116" s="31" t="str">
        <f t="shared" si="43"/>
        <v/>
      </c>
      <c r="BQ116" s="31" t="str">
        <f t="shared" si="44"/>
        <v/>
      </c>
      <c r="BR116" s="31" t="str">
        <f t="shared" si="45"/>
        <v/>
      </c>
      <c r="BS116" s="31" t="str">
        <f t="shared" si="46"/>
        <v>Y</v>
      </c>
      <c r="BT116" s="31" t="str">
        <f t="shared" si="47"/>
        <v/>
      </c>
      <c r="BU116" s="30" t="str">
        <f t="shared" si="48"/>
        <v/>
      </c>
      <c r="BV116" s="39" t="str">
        <f t="shared" si="49"/>
        <v>Y</v>
      </c>
      <c r="BW116" s="3" t="s">
        <v>340</v>
      </c>
    </row>
    <row r="117" spans="1:75" x14ac:dyDescent="0.35">
      <c r="A117" s="11" t="s">
        <v>115</v>
      </c>
      <c r="B117" s="3" t="s">
        <v>30</v>
      </c>
      <c r="C117" s="12"/>
      <c r="D117" s="59"/>
      <c r="E117" s="13"/>
      <c r="F117" s="13"/>
      <c r="G117" s="13"/>
      <c r="H117" s="13"/>
      <c r="I117" s="13"/>
      <c r="J117" s="13"/>
      <c r="K117" s="13"/>
      <c r="L117" s="13"/>
      <c r="N117" s="13"/>
      <c r="P117" s="13" t="s">
        <v>7</v>
      </c>
      <c r="Q117" s="13"/>
      <c r="R117" s="13"/>
      <c r="S117" s="13"/>
      <c r="V117" s="13"/>
      <c r="W117" s="13"/>
      <c r="X117" s="13"/>
      <c r="Y117" s="13"/>
      <c r="Z117" s="13"/>
      <c r="AA117" s="13"/>
      <c r="AB117" s="13"/>
      <c r="AD117" s="13"/>
      <c r="AE117" s="13"/>
      <c r="AF117" s="13"/>
      <c r="AG117" s="13"/>
      <c r="AH117" s="12"/>
      <c r="AI117" s="13"/>
      <c r="AJ117" s="14" t="s">
        <v>7</v>
      </c>
      <c r="AK117" s="13"/>
      <c r="AL117" s="13"/>
      <c r="AM117" s="15"/>
      <c r="AN117" s="149"/>
      <c r="AO117" s="14"/>
      <c r="AP117" s="14"/>
      <c r="AQ117" s="14" t="s">
        <v>7</v>
      </c>
      <c r="AR117" s="14"/>
      <c r="AS117" s="15"/>
      <c r="AT117" s="14"/>
      <c r="AU117" s="14"/>
      <c r="AV117" s="14" t="s">
        <v>7</v>
      </c>
      <c r="AW117" s="14"/>
      <c r="AX117" s="14"/>
      <c r="AY117" s="14"/>
      <c r="AZ117" s="14"/>
      <c r="BC117" s="31" t="str">
        <f t="shared" si="30"/>
        <v>Y</v>
      </c>
      <c r="BD117" s="31" t="str">
        <f t="shared" si="31"/>
        <v/>
      </c>
      <c r="BE117" s="31" t="str">
        <f t="shared" si="32"/>
        <v/>
      </c>
      <c r="BF117" s="31" t="str">
        <f t="shared" si="33"/>
        <v/>
      </c>
      <c r="BG117" s="31" t="str">
        <f t="shared" si="34"/>
        <v/>
      </c>
      <c r="BH117" s="31" t="str">
        <f t="shared" si="35"/>
        <v/>
      </c>
      <c r="BI117" s="31" t="str">
        <f t="shared" si="36"/>
        <v/>
      </c>
      <c r="BJ117" s="30" t="str">
        <f t="shared" si="37"/>
        <v>Y</v>
      </c>
      <c r="BK117" s="31" t="str">
        <f t="shared" si="38"/>
        <v/>
      </c>
      <c r="BL117" s="30" t="str">
        <f t="shared" si="39"/>
        <v>Y</v>
      </c>
      <c r="BM117" s="31" t="str">
        <f t="shared" si="40"/>
        <v/>
      </c>
      <c r="BN117" s="31" t="str">
        <f t="shared" si="41"/>
        <v/>
      </c>
      <c r="BO117" s="31" t="str">
        <f t="shared" si="42"/>
        <v/>
      </c>
      <c r="BP117" s="31" t="str">
        <f t="shared" si="43"/>
        <v/>
      </c>
      <c r="BQ117" s="31" t="str">
        <f t="shared" si="44"/>
        <v/>
      </c>
      <c r="BR117" s="31" t="str">
        <f t="shared" si="45"/>
        <v/>
      </c>
      <c r="BS117" s="31" t="str">
        <f t="shared" si="46"/>
        <v/>
      </c>
      <c r="BT117" s="31" t="str">
        <f t="shared" si="47"/>
        <v/>
      </c>
      <c r="BU117" s="30" t="str">
        <f t="shared" si="48"/>
        <v>Y</v>
      </c>
      <c r="BV117" s="39" t="str">
        <f t="shared" si="49"/>
        <v/>
      </c>
      <c r="BW117" s="3" t="s">
        <v>209</v>
      </c>
    </row>
    <row r="118" spans="1:75" s="16" customFormat="1" ht="29" x14ac:dyDescent="0.35">
      <c r="A118" s="11" t="s">
        <v>116</v>
      </c>
      <c r="B118" s="3" t="s">
        <v>9</v>
      </c>
      <c r="C118" s="12"/>
      <c r="D118" s="59"/>
      <c r="E118" s="13"/>
      <c r="F118" s="13"/>
      <c r="G118" s="13"/>
      <c r="H118" s="13"/>
      <c r="I118" s="13"/>
      <c r="J118" s="13"/>
      <c r="K118" s="13"/>
      <c r="L118" s="13" t="s">
        <v>7</v>
      </c>
      <c r="M118" s="13"/>
      <c r="N118" s="13"/>
      <c r="O118" s="13"/>
      <c r="P118" s="13"/>
      <c r="Q118" s="13"/>
      <c r="R118" s="13"/>
      <c r="S118" s="13"/>
      <c r="T118" s="28"/>
      <c r="U118" s="28"/>
      <c r="V118" s="13"/>
      <c r="W118" s="13"/>
      <c r="X118" s="13"/>
      <c r="Y118" s="13"/>
      <c r="Z118" s="13"/>
      <c r="AA118" s="13"/>
      <c r="AB118" s="13"/>
      <c r="AC118" s="13"/>
      <c r="AD118" s="13"/>
      <c r="AE118" s="13"/>
      <c r="AF118" s="13"/>
      <c r="AG118" s="13"/>
      <c r="AH118" s="12"/>
      <c r="AI118" s="13"/>
      <c r="AJ118" s="14"/>
      <c r="AK118" s="13" t="s">
        <v>7</v>
      </c>
      <c r="AL118" s="13"/>
      <c r="AM118" s="15"/>
      <c r="AN118" s="149"/>
      <c r="AO118" s="14"/>
      <c r="AP118" s="14"/>
      <c r="AQ118" s="14" t="s">
        <v>7</v>
      </c>
      <c r="AR118" s="14"/>
      <c r="AS118" s="15"/>
      <c r="AT118" s="14" t="s">
        <v>7</v>
      </c>
      <c r="AU118" s="14"/>
      <c r="AV118" s="14"/>
      <c r="AW118" s="14"/>
      <c r="AX118" s="14"/>
      <c r="AY118" s="14"/>
      <c r="AZ118" s="14"/>
      <c r="BA118" s="30"/>
      <c r="BB118" s="31"/>
      <c r="BC118" s="31" t="str">
        <f t="shared" si="30"/>
        <v/>
      </c>
      <c r="BD118" s="31" t="str">
        <f t="shared" si="31"/>
        <v/>
      </c>
      <c r="BE118" s="31" t="str">
        <f t="shared" si="32"/>
        <v/>
      </c>
      <c r="BF118" s="31" t="str">
        <f t="shared" si="33"/>
        <v/>
      </c>
      <c r="BG118" s="31" t="str">
        <f t="shared" si="34"/>
        <v>Y</v>
      </c>
      <c r="BH118" s="31" t="str">
        <f t="shared" si="35"/>
        <v/>
      </c>
      <c r="BI118" s="31" t="str">
        <f t="shared" si="36"/>
        <v/>
      </c>
      <c r="BJ118" s="30" t="str">
        <f t="shared" si="37"/>
        <v/>
      </c>
      <c r="BK118" s="31" t="str">
        <f t="shared" si="38"/>
        <v>Y</v>
      </c>
      <c r="BL118" s="30" t="str">
        <f t="shared" si="39"/>
        <v/>
      </c>
      <c r="BM118" s="31" t="str">
        <f t="shared" si="40"/>
        <v/>
      </c>
      <c r="BN118" s="31" t="str">
        <f t="shared" si="41"/>
        <v>Y</v>
      </c>
      <c r="BO118" s="31" t="str">
        <f t="shared" si="42"/>
        <v/>
      </c>
      <c r="BP118" s="31" t="str">
        <f t="shared" si="43"/>
        <v/>
      </c>
      <c r="BQ118" s="31" t="str">
        <f t="shared" si="44"/>
        <v/>
      </c>
      <c r="BR118" s="31" t="str">
        <f t="shared" si="45"/>
        <v/>
      </c>
      <c r="BS118" s="31" t="str">
        <f t="shared" si="46"/>
        <v/>
      </c>
      <c r="BT118" s="31" t="str">
        <f t="shared" si="47"/>
        <v/>
      </c>
      <c r="BU118" s="30" t="str">
        <f t="shared" si="48"/>
        <v>Y</v>
      </c>
      <c r="BV118" s="39" t="str">
        <f t="shared" si="49"/>
        <v/>
      </c>
      <c r="BW118" s="3" t="s">
        <v>247</v>
      </c>
    </row>
    <row r="119" spans="1:75" s="16" customFormat="1" x14ac:dyDescent="0.35">
      <c r="A119" s="11" t="s">
        <v>117</v>
      </c>
      <c r="B119" s="3" t="s">
        <v>6</v>
      </c>
      <c r="C119" s="12" t="s">
        <v>7</v>
      </c>
      <c r="D119" s="59"/>
      <c r="E119" s="13"/>
      <c r="F119" s="13"/>
      <c r="G119" s="13"/>
      <c r="H119" s="13"/>
      <c r="I119" s="13"/>
      <c r="J119" s="13"/>
      <c r="K119" s="13"/>
      <c r="L119" s="13"/>
      <c r="M119" s="13"/>
      <c r="N119" s="13"/>
      <c r="O119" s="13"/>
      <c r="P119" s="13"/>
      <c r="Q119" s="13"/>
      <c r="R119" s="13"/>
      <c r="S119" s="13"/>
      <c r="T119" s="28"/>
      <c r="U119" s="28"/>
      <c r="V119" s="13"/>
      <c r="W119" s="13"/>
      <c r="X119" s="13"/>
      <c r="Y119" s="13"/>
      <c r="Z119" s="13"/>
      <c r="AA119" s="13"/>
      <c r="AB119" s="13"/>
      <c r="AC119" s="13"/>
      <c r="AD119" s="13"/>
      <c r="AE119" s="13"/>
      <c r="AF119" s="13"/>
      <c r="AG119" s="13"/>
      <c r="AH119" s="12"/>
      <c r="AI119" s="13"/>
      <c r="AJ119" s="14"/>
      <c r="AK119" s="13" t="s">
        <v>7</v>
      </c>
      <c r="AL119" s="13"/>
      <c r="AM119" s="15"/>
      <c r="AN119" s="149"/>
      <c r="AO119" s="14"/>
      <c r="AP119" s="14"/>
      <c r="AQ119" s="14" t="s">
        <v>7</v>
      </c>
      <c r="AR119" s="14"/>
      <c r="AS119" s="15"/>
      <c r="AT119" s="14"/>
      <c r="AU119" s="14" t="s">
        <v>7</v>
      </c>
      <c r="AV119" s="14"/>
      <c r="AW119" s="14"/>
      <c r="AX119" s="14"/>
      <c r="AY119" s="14"/>
      <c r="AZ119" s="14"/>
      <c r="BA119" s="30"/>
      <c r="BB119" s="31"/>
      <c r="BC119" s="31" t="str">
        <f t="shared" si="30"/>
        <v/>
      </c>
      <c r="BD119" s="31" t="str">
        <f t="shared" si="31"/>
        <v/>
      </c>
      <c r="BE119" s="31" t="str">
        <f t="shared" si="32"/>
        <v/>
      </c>
      <c r="BF119" s="31" t="str">
        <f t="shared" si="33"/>
        <v/>
      </c>
      <c r="BG119" s="31" t="str">
        <f t="shared" si="34"/>
        <v>Y</v>
      </c>
      <c r="BH119" s="31" t="str">
        <f t="shared" si="35"/>
        <v/>
      </c>
      <c r="BI119" s="31" t="str">
        <f t="shared" si="36"/>
        <v/>
      </c>
      <c r="BJ119" s="30" t="str">
        <f t="shared" si="37"/>
        <v/>
      </c>
      <c r="BK119" s="31" t="str">
        <f t="shared" si="38"/>
        <v>Y</v>
      </c>
      <c r="BL119" s="30" t="str">
        <f t="shared" si="39"/>
        <v/>
      </c>
      <c r="BM119" s="31" t="str">
        <f t="shared" si="40"/>
        <v/>
      </c>
      <c r="BN119" s="31" t="str">
        <f t="shared" si="41"/>
        <v/>
      </c>
      <c r="BO119" s="31" t="str">
        <f t="shared" si="42"/>
        <v>Y</v>
      </c>
      <c r="BP119" s="31" t="str">
        <f t="shared" si="43"/>
        <v/>
      </c>
      <c r="BQ119" s="31" t="str">
        <f t="shared" si="44"/>
        <v/>
      </c>
      <c r="BR119" s="31" t="str">
        <f t="shared" si="45"/>
        <v/>
      </c>
      <c r="BS119" s="31" t="str">
        <f t="shared" si="46"/>
        <v/>
      </c>
      <c r="BT119" s="31" t="str">
        <f t="shared" si="47"/>
        <v/>
      </c>
      <c r="BU119" s="30" t="str">
        <f t="shared" si="48"/>
        <v>Y</v>
      </c>
      <c r="BV119" s="39" t="str">
        <f t="shared" si="49"/>
        <v/>
      </c>
      <c r="BW119" s="3" t="s">
        <v>239</v>
      </c>
    </row>
    <row r="120" spans="1:75" s="16" customFormat="1" x14ac:dyDescent="0.35">
      <c r="A120" s="11" t="s">
        <v>118</v>
      </c>
      <c r="B120" s="3" t="s">
        <v>18</v>
      </c>
      <c r="C120" s="12"/>
      <c r="D120" s="59"/>
      <c r="E120" s="13"/>
      <c r="F120" s="13"/>
      <c r="G120" s="13"/>
      <c r="H120" s="13" t="s">
        <v>7</v>
      </c>
      <c r="I120" s="13"/>
      <c r="J120" s="13"/>
      <c r="K120" s="13"/>
      <c r="L120" s="13"/>
      <c r="M120" s="13"/>
      <c r="N120" s="13"/>
      <c r="O120" s="13"/>
      <c r="P120" s="13"/>
      <c r="Q120" s="13"/>
      <c r="R120" s="13"/>
      <c r="S120" s="13"/>
      <c r="T120" s="28"/>
      <c r="U120" s="28"/>
      <c r="V120" s="13"/>
      <c r="W120" s="13"/>
      <c r="X120" s="13"/>
      <c r="Y120" s="13"/>
      <c r="Z120" s="13"/>
      <c r="AA120" s="13"/>
      <c r="AB120" s="13"/>
      <c r="AC120" s="13"/>
      <c r="AD120" s="13"/>
      <c r="AE120" s="13"/>
      <c r="AF120" s="13"/>
      <c r="AG120" s="13"/>
      <c r="AH120" s="12"/>
      <c r="AI120" s="13"/>
      <c r="AJ120" s="14"/>
      <c r="AK120" s="13" t="s">
        <v>7</v>
      </c>
      <c r="AL120" s="13"/>
      <c r="AM120" s="15"/>
      <c r="AN120" s="149"/>
      <c r="AO120" s="14"/>
      <c r="AP120" s="14"/>
      <c r="AQ120" s="14" t="s">
        <v>7</v>
      </c>
      <c r="AR120" s="14"/>
      <c r="AS120" s="15"/>
      <c r="AT120" s="14" t="s">
        <v>7</v>
      </c>
      <c r="AU120" s="14"/>
      <c r="AV120" s="14"/>
      <c r="AW120" s="14"/>
      <c r="AX120" s="14"/>
      <c r="AY120" s="14"/>
      <c r="AZ120" s="14"/>
      <c r="BA120" s="30"/>
      <c r="BB120" s="31"/>
      <c r="BC120" s="31" t="str">
        <f t="shared" si="30"/>
        <v/>
      </c>
      <c r="BD120" s="31" t="str">
        <f t="shared" si="31"/>
        <v/>
      </c>
      <c r="BE120" s="31" t="str">
        <f t="shared" si="32"/>
        <v/>
      </c>
      <c r="BF120" s="31" t="str">
        <f t="shared" si="33"/>
        <v/>
      </c>
      <c r="BG120" s="31" t="str">
        <f t="shared" si="34"/>
        <v/>
      </c>
      <c r="BH120" s="31" t="str">
        <f t="shared" si="35"/>
        <v/>
      </c>
      <c r="BI120" s="31" t="str">
        <f t="shared" si="36"/>
        <v>Y</v>
      </c>
      <c r="BJ120" s="30" t="str">
        <f t="shared" si="37"/>
        <v/>
      </c>
      <c r="BK120" s="31" t="str">
        <f t="shared" si="38"/>
        <v>Y</v>
      </c>
      <c r="BL120" s="30" t="str">
        <f t="shared" si="39"/>
        <v/>
      </c>
      <c r="BM120" s="31" t="str">
        <f t="shared" si="40"/>
        <v/>
      </c>
      <c r="BN120" s="31" t="str">
        <f t="shared" si="41"/>
        <v/>
      </c>
      <c r="BO120" s="31" t="str">
        <f t="shared" si="42"/>
        <v/>
      </c>
      <c r="BP120" s="31" t="str">
        <f t="shared" si="43"/>
        <v/>
      </c>
      <c r="BQ120" s="31" t="str">
        <f t="shared" si="44"/>
        <v/>
      </c>
      <c r="BR120" s="31" t="str">
        <f t="shared" si="45"/>
        <v/>
      </c>
      <c r="BS120" s="31" t="str">
        <f t="shared" si="46"/>
        <v>Y</v>
      </c>
      <c r="BT120" s="31" t="str">
        <f t="shared" si="47"/>
        <v/>
      </c>
      <c r="BU120" s="30" t="str">
        <f t="shared" si="48"/>
        <v/>
      </c>
      <c r="BV120" s="39" t="str">
        <f t="shared" si="49"/>
        <v>Y</v>
      </c>
      <c r="BW120" s="3" t="s">
        <v>210</v>
      </c>
    </row>
    <row r="121" spans="1:75" s="16" customFormat="1" x14ac:dyDescent="0.35">
      <c r="A121" s="11" t="s">
        <v>119</v>
      </c>
      <c r="B121" s="3" t="s">
        <v>30</v>
      </c>
      <c r="C121" s="12"/>
      <c r="D121" s="59"/>
      <c r="E121" s="13"/>
      <c r="F121" s="13"/>
      <c r="G121" s="13"/>
      <c r="H121" s="13"/>
      <c r="I121" s="13"/>
      <c r="J121" s="13"/>
      <c r="K121" s="13"/>
      <c r="L121" s="13"/>
      <c r="M121" s="13"/>
      <c r="N121" s="13" t="s">
        <v>7</v>
      </c>
      <c r="O121" s="13"/>
      <c r="P121" s="13" t="s">
        <v>7</v>
      </c>
      <c r="Q121" s="13"/>
      <c r="R121" s="13"/>
      <c r="S121" s="13"/>
      <c r="T121" s="28"/>
      <c r="U121" s="28"/>
      <c r="V121" s="13"/>
      <c r="W121" s="13"/>
      <c r="X121" s="13"/>
      <c r="Y121" s="13"/>
      <c r="Z121" s="13"/>
      <c r="AA121" s="13"/>
      <c r="AB121" s="13"/>
      <c r="AC121" s="13" t="s">
        <v>7</v>
      </c>
      <c r="AD121" s="13"/>
      <c r="AE121" s="13"/>
      <c r="AF121" s="13"/>
      <c r="AG121" s="13"/>
      <c r="AH121" s="12"/>
      <c r="AI121" s="13" t="s">
        <v>7</v>
      </c>
      <c r="AJ121" s="14" t="s">
        <v>7</v>
      </c>
      <c r="AK121" s="13" t="s">
        <v>7</v>
      </c>
      <c r="AL121" s="13"/>
      <c r="AM121" s="15"/>
      <c r="AN121" s="149"/>
      <c r="AO121" s="14"/>
      <c r="AP121" s="14"/>
      <c r="AQ121" s="14" t="s">
        <v>7</v>
      </c>
      <c r="AR121" s="14"/>
      <c r="AS121" s="15"/>
      <c r="AT121" s="14"/>
      <c r="AU121" s="14"/>
      <c r="AV121" s="14" t="s">
        <v>7</v>
      </c>
      <c r="AW121" s="14"/>
      <c r="AX121" s="14"/>
      <c r="AY121" s="14"/>
      <c r="AZ121" s="14"/>
      <c r="BA121" s="30"/>
      <c r="BB121" s="31"/>
      <c r="BC121" s="31" t="str">
        <f t="shared" si="30"/>
        <v>Y</v>
      </c>
      <c r="BD121" s="31" t="str">
        <f t="shared" si="31"/>
        <v/>
      </c>
      <c r="BE121" s="31" t="str">
        <f t="shared" si="32"/>
        <v/>
      </c>
      <c r="BF121" s="31" t="str">
        <f t="shared" si="33"/>
        <v/>
      </c>
      <c r="BG121" s="31" t="str">
        <f t="shared" si="34"/>
        <v/>
      </c>
      <c r="BH121" s="31" t="str">
        <f t="shared" si="35"/>
        <v/>
      </c>
      <c r="BI121" s="31" t="str">
        <f t="shared" si="36"/>
        <v>Y</v>
      </c>
      <c r="BJ121" s="30" t="str">
        <f t="shared" si="37"/>
        <v>Y</v>
      </c>
      <c r="BK121" s="31" t="str">
        <f t="shared" si="38"/>
        <v>Y</v>
      </c>
      <c r="BL121" s="30" t="str">
        <f t="shared" si="39"/>
        <v>Y</v>
      </c>
      <c r="BM121" s="31" t="str">
        <f t="shared" si="40"/>
        <v>Y</v>
      </c>
      <c r="BN121" s="31" t="str">
        <f t="shared" si="41"/>
        <v/>
      </c>
      <c r="BO121" s="31" t="str">
        <f t="shared" si="42"/>
        <v/>
      </c>
      <c r="BP121" s="31" t="str">
        <f t="shared" si="43"/>
        <v/>
      </c>
      <c r="BQ121" s="31" t="str">
        <f t="shared" si="44"/>
        <v>Y</v>
      </c>
      <c r="BR121" s="31" t="str">
        <f t="shared" si="45"/>
        <v/>
      </c>
      <c r="BS121" s="31" t="str">
        <f t="shared" si="46"/>
        <v/>
      </c>
      <c r="BT121" s="31" t="str">
        <f t="shared" si="47"/>
        <v/>
      </c>
      <c r="BU121" s="30" t="str">
        <f t="shared" si="48"/>
        <v>Y</v>
      </c>
      <c r="BV121" s="39" t="str">
        <f t="shared" si="49"/>
        <v>Y</v>
      </c>
      <c r="BW121" s="3" t="s">
        <v>206</v>
      </c>
    </row>
    <row r="122" spans="1:75" s="16" customFormat="1" x14ac:dyDescent="0.35">
      <c r="A122" s="11" t="s">
        <v>233</v>
      </c>
      <c r="B122" s="3" t="s">
        <v>46</v>
      </c>
      <c r="C122" s="12"/>
      <c r="D122" s="59"/>
      <c r="E122" s="13"/>
      <c r="F122" s="13"/>
      <c r="G122" s="13"/>
      <c r="H122" s="13"/>
      <c r="I122" s="13"/>
      <c r="J122" s="13"/>
      <c r="K122" s="13"/>
      <c r="L122" s="13"/>
      <c r="M122" s="13"/>
      <c r="N122" s="13"/>
      <c r="O122" s="13"/>
      <c r="P122" s="13"/>
      <c r="Q122" s="13"/>
      <c r="R122" s="13"/>
      <c r="S122" s="13"/>
      <c r="T122" s="28"/>
      <c r="U122" s="28"/>
      <c r="V122" s="13"/>
      <c r="W122" s="13" t="s">
        <v>7</v>
      </c>
      <c r="X122" s="13"/>
      <c r="Y122" s="13"/>
      <c r="Z122" s="13"/>
      <c r="AA122" s="13"/>
      <c r="AB122" s="13"/>
      <c r="AC122" s="13"/>
      <c r="AD122" s="13"/>
      <c r="AE122" s="13"/>
      <c r="AF122" s="13"/>
      <c r="AG122" s="13"/>
      <c r="AH122" s="12"/>
      <c r="AI122" s="13"/>
      <c r="AJ122" s="14"/>
      <c r="AK122" s="13"/>
      <c r="AL122" s="13" t="s">
        <v>7</v>
      </c>
      <c r="AM122" s="15"/>
      <c r="AN122" s="149"/>
      <c r="AO122" s="14"/>
      <c r="AP122" s="14"/>
      <c r="AQ122" s="14" t="s">
        <v>7</v>
      </c>
      <c r="AR122" s="14"/>
      <c r="AS122" s="15"/>
      <c r="AT122" s="14"/>
      <c r="AU122" s="14"/>
      <c r="AV122" s="14"/>
      <c r="AW122" s="14"/>
      <c r="AX122" s="14"/>
      <c r="AY122" s="14"/>
      <c r="AZ122" s="14" t="s">
        <v>7</v>
      </c>
      <c r="BA122" s="30"/>
      <c r="BB122" s="31"/>
      <c r="BC122" s="31" t="str">
        <f t="shared" si="30"/>
        <v/>
      </c>
      <c r="BD122" s="31" t="str">
        <f t="shared" si="31"/>
        <v>Y</v>
      </c>
      <c r="BE122" s="31" t="str">
        <f t="shared" si="32"/>
        <v/>
      </c>
      <c r="BF122" s="31" t="str">
        <f t="shared" si="33"/>
        <v/>
      </c>
      <c r="BG122" s="31" t="str">
        <f t="shared" si="34"/>
        <v/>
      </c>
      <c r="BH122" s="31" t="str">
        <f t="shared" si="35"/>
        <v/>
      </c>
      <c r="BI122" s="31" t="str">
        <f t="shared" si="36"/>
        <v/>
      </c>
      <c r="BJ122" s="30" t="str">
        <f t="shared" si="37"/>
        <v>Y</v>
      </c>
      <c r="BK122" s="31" t="str">
        <f t="shared" si="38"/>
        <v/>
      </c>
      <c r="BL122" s="30" t="str">
        <f t="shared" si="39"/>
        <v/>
      </c>
      <c r="BM122" s="31" t="str">
        <f t="shared" si="40"/>
        <v/>
      </c>
      <c r="BN122" s="31" t="str">
        <f t="shared" si="41"/>
        <v/>
      </c>
      <c r="BO122" s="31" t="str">
        <f t="shared" si="42"/>
        <v/>
      </c>
      <c r="BP122" s="31" t="str">
        <f t="shared" si="43"/>
        <v>Y</v>
      </c>
      <c r="BQ122" s="31" t="str">
        <f t="shared" si="44"/>
        <v/>
      </c>
      <c r="BR122" s="31" t="str">
        <f t="shared" si="45"/>
        <v/>
      </c>
      <c r="BS122" s="31" t="str">
        <f t="shared" si="46"/>
        <v/>
      </c>
      <c r="BT122" s="31" t="str">
        <f t="shared" si="47"/>
        <v/>
      </c>
      <c r="BU122" s="30" t="str">
        <f t="shared" si="48"/>
        <v/>
      </c>
      <c r="BV122" s="39" t="str">
        <f t="shared" si="49"/>
        <v>Y</v>
      </c>
      <c r="BW122" s="3" t="s">
        <v>281</v>
      </c>
    </row>
    <row r="123" spans="1:75" s="16" customFormat="1" x14ac:dyDescent="0.35">
      <c r="A123" s="11" t="s">
        <v>260</v>
      </c>
      <c r="B123" s="3" t="s">
        <v>14</v>
      </c>
      <c r="C123" s="12"/>
      <c r="D123" s="59"/>
      <c r="E123" s="13"/>
      <c r="F123" s="13"/>
      <c r="G123" s="13"/>
      <c r="H123" s="13"/>
      <c r="I123" s="13"/>
      <c r="J123" s="13"/>
      <c r="K123" s="13"/>
      <c r="L123" s="13"/>
      <c r="M123" s="13"/>
      <c r="N123" s="13"/>
      <c r="O123" s="13"/>
      <c r="P123" s="13"/>
      <c r="Q123" s="13"/>
      <c r="R123" s="13"/>
      <c r="S123" s="13"/>
      <c r="T123" s="28" t="s">
        <v>7</v>
      </c>
      <c r="U123" s="28"/>
      <c r="V123" s="13"/>
      <c r="W123" s="13"/>
      <c r="X123" s="13"/>
      <c r="Y123" s="13"/>
      <c r="Z123" s="13"/>
      <c r="AA123" s="13"/>
      <c r="AB123" s="13"/>
      <c r="AC123" s="13"/>
      <c r="AD123" s="13"/>
      <c r="AE123" s="13"/>
      <c r="AF123" s="13"/>
      <c r="AG123" s="13"/>
      <c r="AH123" s="12"/>
      <c r="AI123" s="13"/>
      <c r="AJ123" s="14"/>
      <c r="AK123" s="13" t="s">
        <v>7</v>
      </c>
      <c r="AL123" s="13"/>
      <c r="AM123" s="15"/>
      <c r="AN123" s="149"/>
      <c r="AO123" s="14"/>
      <c r="AP123" s="14"/>
      <c r="AQ123" s="14" t="s">
        <v>7</v>
      </c>
      <c r="AR123" s="14"/>
      <c r="AS123" s="15"/>
      <c r="AT123" s="14"/>
      <c r="AU123" s="14"/>
      <c r="AV123" s="14"/>
      <c r="AW123" s="14"/>
      <c r="AX123" s="14"/>
      <c r="AY123" s="14" t="s">
        <v>7</v>
      </c>
      <c r="AZ123" s="14"/>
      <c r="BA123" s="30"/>
      <c r="BB123" s="31"/>
      <c r="BC123" s="31" t="str">
        <f t="shared" si="30"/>
        <v/>
      </c>
      <c r="BD123" s="31" t="str">
        <f t="shared" si="31"/>
        <v/>
      </c>
      <c r="BE123" s="31" t="str">
        <f t="shared" si="32"/>
        <v/>
      </c>
      <c r="BF123" s="31" t="str">
        <f t="shared" si="33"/>
        <v/>
      </c>
      <c r="BG123" s="31" t="str">
        <f t="shared" si="34"/>
        <v/>
      </c>
      <c r="BH123" s="31" t="str">
        <f t="shared" si="35"/>
        <v/>
      </c>
      <c r="BI123" s="31" t="str">
        <f t="shared" si="36"/>
        <v>Y</v>
      </c>
      <c r="BJ123" s="30" t="str">
        <f t="shared" si="37"/>
        <v/>
      </c>
      <c r="BK123" s="31" t="str">
        <f t="shared" si="38"/>
        <v>Y</v>
      </c>
      <c r="BL123" s="30" t="str">
        <f t="shared" si="39"/>
        <v/>
      </c>
      <c r="BM123" s="31" t="str">
        <f t="shared" si="40"/>
        <v/>
      </c>
      <c r="BN123" s="31" t="str">
        <f t="shared" si="41"/>
        <v/>
      </c>
      <c r="BO123" s="31" t="str">
        <f t="shared" si="42"/>
        <v/>
      </c>
      <c r="BP123" s="31" t="str">
        <f t="shared" si="43"/>
        <v/>
      </c>
      <c r="BQ123" s="31" t="str">
        <f t="shared" si="44"/>
        <v>Y</v>
      </c>
      <c r="BR123" s="31" t="str">
        <f t="shared" si="45"/>
        <v/>
      </c>
      <c r="BS123" s="31" t="str">
        <f t="shared" si="46"/>
        <v/>
      </c>
      <c r="BT123" s="31" t="str">
        <f t="shared" si="47"/>
        <v/>
      </c>
      <c r="BU123" s="30" t="str">
        <f t="shared" si="48"/>
        <v/>
      </c>
      <c r="BV123" s="39" t="str">
        <f t="shared" si="49"/>
        <v>Y</v>
      </c>
      <c r="BW123" s="3" t="s">
        <v>183</v>
      </c>
    </row>
    <row r="124" spans="1:75" ht="29" x14ac:dyDescent="0.35">
      <c r="A124" s="11" t="s">
        <v>120</v>
      </c>
      <c r="B124" s="3" t="s">
        <v>62</v>
      </c>
      <c r="C124" s="12" t="s">
        <v>7</v>
      </c>
      <c r="D124" s="59"/>
      <c r="E124" s="13"/>
      <c r="F124" s="13"/>
      <c r="G124" s="13"/>
      <c r="H124" s="13" t="s">
        <v>7</v>
      </c>
      <c r="I124" s="13"/>
      <c r="J124" s="13"/>
      <c r="K124" s="13"/>
      <c r="L124" s="13"/>
      <c r="M124" s="13" t="s">
        <v>7</v>
      </c>
      <c r="N124" s="13"/>
      <c r="Q124" s="13" t="s">
        <v>7</v>
      </c>
      <c r="R124" s="13"/>
      <c r="S124" s="13"/>
      <c r="U124" s="28" t="s">
        <v>7</v>
      </c>
      <c r="V124" s="13"/>
      <c r="W124" s="13" t="s">
        <v>7</v>
      </c>
      <c r="X124" s="13"/>
      <c r="Y124" s="13"/>
      <c r="Z124" s="13"/>
      <c r="AA124" s="13"/>
      <c r="AB124" s="13"/>
      <c r="AD124" s="13" t="s">
        <v>7</v>
      </c>
      <c r="AE124" s="13"/>
      <c r="AF124" s="13"/>
      <c r="AG124" s="13"/>
      <c r="AH124" s="12"/>
      <c r="AI124" s="13"/>
      <c r="AJ124" s="14"/>
      <c r="AK124" s="13" t="s">
        <v>7</v>
      </c>
      <c r="AL124" s="13" t="s">
        <v>7</v>
      </c>
      <c r="AM124" s="15"/>
      <c r="AN124" s="149"/>
      <c r="AO124" s="14"/>
      <c r="AP124" s="14"/>
      <c r="AQ124" s="14" t="s">
        <v>7</v>
      </c>
      <c r="AR124" s="14"/>
      <c r="AS124" s="15"/>
      <c r="AT124" s="14"/>
      <c r="AU124" s="14"/>
      <c r="AV124" s="14"/>
      <c r="AW124" s="14" t="s">
        <v>7</v>
      </c>
      <c r="AX124" s="14"/>
      <c r="AY124" s="14"/>
      <c r="AZ124" s="14"/>
      <c r="BC124" s="31" t="str">
        <f t="shared" si="30"/>
        <v>Y</v>
      </c>
      <c r="BD124" s="31" t="str">
        <f t="shared" si="31"/>
        <v>Y</v>
      </c>
      <c r="BE124" s="31" t="str">
        <f t="shared" si="32"/>
        <v/>
      </c>
      <c r="BF124" s="31" t="str">
        <f t="shared" si="33"/>
        <v/>
      </c>
      <c r="BG124" s="31" t="str">
        <f t="shared" si="34"/>
        <v>Y</v>
      </c>
      <c r="BH124" s="31" t="str">
        <f t="shared" si="35"/>
        <v>Y</v>
      </c>
      <c r="BI124" s="31" t="str">
        <f t="shared" si="36"/>
        <v>Y</v>
      </c>
      <c r="BJ124" s="30" t="str">
        <f t="shared" si="37"/>
        <v>Y</v>
      </c>
      <c r="BK124" s="31" t="str">
        <f t="shared" si="38"/>
        <v>Y</v>
      </c>
      <c r="BL124" s="30" t="str">
        <f t="shared" si="39"/>
        <v/>
      </c>
      <c r="BM124" s="31" t="str">
        <f t="shared" si="40"/>
        <v>Y</v>
      </c>
      <c r="BN124" s="31" t="str">
        <f t="shared" si="41"/>
        <v/>
      </c>
      <c r="BO124" s="31" t="str">
        <f t="shared" si="42"/>
        <v>Y</v>
      </c>
      <c r="BP124" s="31" t="str">
        <f t="shared" si="43"/>
        <v>Y</v>
      </c>
      <c r="BQ124" s="31" t="str">
        <f t="shared" si="44"/>
        <v>Y</v>
      </c>
      <c r="BR124" s="31" t="str">
        <f t="shared" si="45"/>
        <v>Y</v>
      </c>
      <c r="BS124" s="31" t="str">
        <f t="shared" si="46"/>
        <v>Y</v>
      </c>
      <c r="BT124" s="31" t="str">
        <f t="shared" si="47"/>
        <v/>
      </c>
      <c r="BU124" s="30" t="str">
        <f t="shared" si="48"/>
        <v>Y</v>
      </c>
      <c r="BV124" s="39" t="str">
        <f t="shared" si="49"/>
        <v>Y</v>
      </c>
      <c r="BW124" s="3" t="s">
        <v>248</v>
      </c>
    </row>
    <row r="125" spans="1:75" s="16" customFormat="1" x14ac:dyDescent="0.35">
      <c r="A125" s="11" t="s">
        <v>121</v>
      </c>
      <c r="B125" s="3" t="s">
        <v>46</v>
      </c>
      <c r="C125" s="12"/>
      <c r="D125" s="59"/>
      <c r="E125" s="13"/>
      <c r="F125" s="13"/>
      <c r="G125" s="13"/>
      <c r="H125" s="13"/>
      <c r="I125" s="13"/>
      <c r="J125" s="13"/>
      <c r="K125" s="13"/>
      <c r="L125" s="13"/>
      <c r="M125" s="13"/>
      <c r="N125" s="13"/>
      <c r="O125" s="13"/>
      <c r="P125" s="13"/>
      <c r="Q125" s="13"/>
      <c r="R125" s="13"/>
      <c r="S125" s="13" t="s">
        <v>7</v>
      </c>
      <c r="T125" s="28"/>
      <c r="U125" s="28"/>
      <c r="V125" s="13"/>
      <c r="W125" s="13"/>
      <c r="X125" s="13"/>
      <c r="Y125" s="13"/>
      <c r="Z125" s="13"/>
      <c r="AA125" s="13"/>
      <c r="AB125" s="13"/>
      <c r="AC125" s="13"/>
      <c r="AD125" s="13"/>
      <c r="AE125" s="13"/>
      <c r="AF125" s="13"/>
      <c r="AG125" s="13"/>
      <c r="AH125" s="12" t="s">
        <v>7</v>
      </c>
      <c r="AI125" s="13"/>
      <c r="AJ125" s="14"/>
      <c r="AK125" s="13"/>
      <c r="AL125" s="13"/>
      <c r="AM125" s="15"/>
      <c r="AN125" s="149"/>
      <c r="AO125" s="14"/>
      <c r="AP125" s="14"/>
      <c r="AQ125" s="14" t="s">
        <v>7</v>
      </c>
      <c r="AR125" s="14"/>
      <c r="AS125" s="15"/>
      <c r="AT125" s="14"/>
      <c r="AU125" s="14"/>
      <c r="AV125" s="14"/>
      <c r="AW125" s="14"/>
      <c r="AX125" s="14"/>
      <c r="AY125" s="14"/>
      <c r="AZ125" s="14" t="s">
        <v>7</v>
      </c>
      <c r="BA125" s="30"/>
      <c r="BB125" s="31"/>
      <c r="BC125" s="31" t="str">
        <f t="shared" si="30"/>
        <v/>
      </c>
      <c r="BD125" s="31" t="str">
        <f t="shared" si="31"/>
        <v/>
      </c>
      <c r="BE125" s="31" t="str">
        <f t="shared" si="32"/>
        <v/>
      </c>
      <c r="BF125" s="31" t="str">
        <f t="shared" si="33"/>
        <v/>
      </c>
      <c r="BG125" s="31" t="str">
        <f t="shared" si="34"/>
        <v/>
      </c>
      <c r="BH125" s="31" t="str">
        <f t="shared" si="35"/>
        <v/>
      </c>
      <c r="BI125" s="31" t="str">
        <f t="shared" si="36"/>
        <v>Y</v>
      </c>
      <c r="BJ125" s="30" t="str">
        <f t="shared" si="37"/>
        <v/>
      </c>
      <c r="BK125" s="31" t="str">
        <f t="shared" si="38"/>
        <v>Y</v>
      </c>
      <c r="BL125" s="30" t="str">
        <f t="shared" si="39"/>
        <v/>
      </c>
      <c r="BM125" s="31" t="str">
        <f t="shared" si="40"/>
        <v/>
      </c>
      <c r="BN125" s="31" t="str">
        <f t="shared" si="41"/>
        <v/>
      </c>
      <c r="BO125" s="31" t="str">
        <f t="shared" si="42"/>
        <v/>
      </c>
      <c r="BP125" s="31" t="str">
        <f t="shared" si="43"/>
        <v/>
      </c>
      <c r="BQ125" s="31" t="str">
        <f t="shared" si="44"/>
        <v>Y</v>
      </c>
      <c r="BR125" s="31" t="str">
        <f t="shared" si="45"/>
        <v/>
      </c>
      <c r="BS125" s="31" t="str">
        <f t="shared" si="46"/>
        <v/>
      </c>
      <c r="BT125" s="31" t="str">
        <f t="shared" si="47"/>
        <v/>
      </c>
      <c r="BU125" s="30" t="str">
        <f t="shared" si="48"/>
        <v/>
      </c>
      <c r="BV125" s="39" t="str">
        <f t="shared" si="49"/>
        <v>Y</v>
      </c>
      <c r="BW125" s="3" t="s">
        <v>205</v>
      </c>
    </row>
    <row r="126" spans="1:75" s="16" customFormat="1" x14ac:dyDescent="0.35">
      <c r="A126" s="11" t="s">
        <v>122</v>
      </c>
      <c r="B126" s="3" t="s">
        <v>46</v>
      </c>
      <c r="C126" s="12" t="s">
        <v>7</v>
      </c>
      <c r="D126" s="59"/>
      <c r="E126" s="13"/>
      <c r="F126" s="13"/>
      <c r="G126" s="13"/>
      <c r="H126" s="13"/>
      <c r="I126" s="13"/>
      <c r="J126" s="13"/>
      <c r="K126" s="13"/>
      <c r="L126" s="13"/>
      <c r="M126" s="13"/>
      <c r="N126" s="13"/>
      <c r="O126" s="13"/>
      <c r="P126" s="13"/>
      <c r="Q126" s="13"/>
      <c r="R126" s="13"/>
      <c r="S126" s="13"/>
      <c r="T126" s="28"/>
      <c r="U126" s="28"/>
      <c r="V126" s="13"/>
      <c r="W126" s="13"/>
      <c r="X126" s="13"/>
      <c r="Y126" s="13"/>
      <c r="Z126" s="13"/>
      <c r="AA126" s="13"/>
      <c r="AB126" s="13"/>
      <c r="AC126" s="13"/>
      <c r="AD126" s="13"/>
      <c r="AE126" s="13"/>
      <c r="AF126" s="13"/>
      <c r="AG126" s="13"/>
      <c r="AH126" s="12"/>
      <c r="AI126" s="13"/>
      <c r="AJ126" s="14"/>
      <c r="AK126" s="13" t="s">
        <v>7</v>
      </c>
      <c r="AL126" s="13"/>
      <c r="AM126" s="15"/>
      <c r="AN126" s="149"/>
      <c r="AO126" s="14"/>
      <c r="AP126" s="14"/>
      <c r="AQ126" s="14" t="s">
        <v>7</v>
      </c>
      <c r="AR126" s="14"/>
      <c r="AS126" s="15"/>
      <c r="AT126" s="14"/>
      <c r="AU126" s="14"/>
      <c r="AV126" s="14"/>
      <c r="AW126" s="14"/>
      <c r="AX126" s="14"/>
      <c r="AY126" s="14"/>
      <c r="AZ126" s="14" t="s">
        <v>7</v>
      </c>
      <c r="BA126" s="30"/>
      <c r="BB126" s="31"/>
      <c r="BC126" s="31" t="str">
        <f t="shared" si="30"/>
        <v/>
      </c>
      <c r="BD126" s="31" t="str">
        <f t="shared" si="31"/>
        <v/>
      </c>
      <c r="BE126" s="31" t="str">
        <f t="shared" si="32"/>
        <v/>
      </c>
      <c r="BF126" s="31" t="str">
        <f t="shared" si="33"/>
        <v/>
      </c>
      <c r="BG126" s="31" t="str">
        <f t="shared" si="34"/>
        <v>Y</v>
      </c>
      <c r="BH126" s="31" t="str">
        <f t="shared" si="35"/>
        <v/>
      </c>
      <c r="BI126" s="31" t="str">
        <f t="shared" si="36"/>
        <v/>
      </c>
      <c r="BJ126" s="30" t="str">
        <f t="shared" si="37"/>
        <v/>
      </c>
      <c r="BK126" s="31" t="str">
        <f t="shared" si="38"/>
        <v>Y</v>
      </c>
      <c r="BL126" s="30" t="str">
        <f t="shared" si="39"/>
        <v/>
      </c>
      <c r="BM126" s="31" t="str">
        <f t="shared" si="40"/>
        <v/>
      </c>
      <c r="BN126" s="31" t="str">
        <f t="shared" si="41"/>
        <v/>
      </c>
      <c r="BO126" s="31" t="str">
        <f t="shared" si="42"/>
        <v>Y</v>
      </c>
      <c r="BP126" s="31" t="str">
        <f t="shared" si="43"/>
        <v/>
      </c>
      <c r="BQ126" s="31" t="str">
        <f t="shared" si="44"/>
        <v/>
      </c>
      <c r="BR126" s="31" t="str">
        <f t="shared" si="45"/>
        <v/>
      </c>
      <c r="BS126" s="31" t="str">
        <f t="shared" si="46"/>
        <v/>
      </c>
      <c r="BT126" s="31" t="str">
        <f t="shared" si="47"/>
        <v/>
      </c>
      <c r="BU126" s="30" t="str">
        <f t="shared" si="48"/>
        <v>Y</v>
      </c>
      <c r="BV126" s="39" t="str">
        <f t="shared" si="49"/>
        <v/>
      </c>
      <c r="BW126" s="3" t="s">
        <v>239</v>
      </c>
    </row>
    <row r="127" spans="1:75" s="16" customFormat="1" ht="29" x14ac:dyDescent="0.35">
      <c r="A127" s="11" t="s">
        <v>123</v>
      </c>
      <c r="B127" s="3" t="s">
        <v>30</v>
      </c>
      <c r="C127" s="12" t="s">
        <v>7</v>
      </c>
      <c r="D127" s="59"/>
      <c r="E127" s="13"/>
      <c r="F127" s="13"/>
      <c r="G127" s="13"/>
      <c r="H127" s="13" t="s">
        <v>7</v>
      </c>
      <c r="I127" s="13"/>
      <c r="J127" s="13"/>
      <c r="K127" s="13"/>
      <c r="L127" s="13"/>
      <c r="M127" s="13"/>
      <c r="N127" s="13"/>
      <c r="O127" s="13"/>
      <c r="P127" s="13"/>
      <c r="Q127" s="13"/>
      <c r="R127" s="13"/>
      <c r="S127" s="13"/>
      <c r="T127" s="28"/>
      <c r="U127" s="28" t="s">
        <v>7</v>
      </c>
      <c r="V127" s="13"/>
      <c r="W127" s="13" t="s">
        <v>7</v>
      </c>
      <c r="X127" s="13"/>
      <c r="Y127" s="13"/>
      <c r="Z127" s="13"/>
      <c r="AA127" s="13"/>
      <c r="AB127" s="13"/>
      <c r="AC127" s="13"/>
      <c r="AD127" s="13"/>
      <c r="AE127" s="13"/>
      <c r="AF127" s="13"/>
      <c r="AG127" s="13"/>
      <c r="AH127" s="12"/>
      <c r="AI127" s="13"/>
      <c r="AJ127" s="14"/>
      <c r="AK127" s="13" t="s">
        <v>7</v>
      </c>
      <c r="AL127" s="13" t="s">
        <v>7</v>
      </c>
      <c r="AM127" s="15"/>
      <c r="AN127" s="149"/>
      <c r="AO127" s="14"/>
      <c r="AP127" s="14"/>
      <c r="AQ127" s="14" t="s">
        <v>7</v>
      </c>
      <c r="AR127" s="14"/>
      <c r="AS127" s="15"/>
      <c r="AT127" s="14"/>
      <c r="AU127" s="14"/>
      <c r="AV127" s="14" t="s">
        <v>7</v>
      </c>
      <c r="AW127" s="14"/>
      <c r="AX127" s="14"/>
      <c r="AY127" s="14"/>
      <c r="AZ127" s="14"/>
      <c r="BA127" s="30"/>
      <c r="BB127" s="31"/>
      <c r="BC127" s="31" t="str">
        <f t="shared" si="30"/>
        <v/>
      </c>
      <c r="BD127" s="31" t="str">
        <f t="shared" si="31"/>
        <v>Y</v>
      </c>
      <c r="BE127" s="31" t="str">
        <f t="shared" si="32"/>
        <v/>
      </c>
      <c r="BF127" s="31" t="str">
        <f t="shared" si="33"/>
        <v/>
      </c>
      <c r="BG127" s="31" t="str">
        <f t="shared" si="34"/>
        <v>Y</v>
      </c>
      <c r="BH127" s="31" t="str">
        <f t="shared" si="35"/>
        <v>Y</v>
      </c>
      <c r="BI127" s="31" t="str">
        <f t="shared" si="36"/>
        <v>Y</v>
      </c>
      <c r="BJ127" s="30" t="str">
        <f t="shared" si="37"/>
        <v>Y</v>
      </c>
      <c r="BK127" s="31" t="str">
        <f t="shared" si="38"/>
        <v>Y</v>
      </c>
      <c r="BL127" s="30" t="str">
        <f t="shared" si="39"/>
        <v/>
      </c>
      <c r="BM127" s="31" t="str">
        <f t="shared" si="40"/>
        <v/>
      </c>
      <c r="BN127" s="31" t="str">
        <f t="shared" si="41"/>
        <v/>
      </c>
      <c r="BO127" s="31" t="str">
        <f t="shared" si="42"/>
        <v>Y</v>
      </c>
      <c r="BP127" s="31" t="str">
        <f t="shared" si="43"/>
        <v>Y</v>
      </c>
      <c r="BQ127" s="31" t="str">
        <f t="shared" si="44"/>
        <v>Y</v>
      </c>
      <c r="BR127" s="31" t="str">
        <f t="shared" si="45"/>
        <v/>
      </c>
      <c r="BS127" s="31" t="str">
        <f t="shared" si="46"/>
        <v>Y</v>
      </c>
      <c r="BT127" s="31" t="str">
        <f t="shared" si="47"/>
        <v/>
      </c>
      <c r="BU127" s="30" t="str">
        <f t="shared" si="48"/>
        <v>Y</v>
      </c>
      <c r="BV127" s="39" t="str">
        <f t="shared" si="49"/>
        <v>Y</v>
      </c>
      <c r="BW127" s="3" t="s">
        <v>249</v>
      </c>
    </row>
    <row r="128" spans="1:75" s="16" customFormat="1" x14ac:dyDescent="0.35">
      <c r="A128" s="11" t="s">
        <v>124</v>
      </c>
      <c r="B128" s="3" t="s">
        <v>28</v>
      </c>
      <c r="C128" s="12" t="s">
        <v>7</v>
      </c>
      <c r="D128" s="59"/>
      <c r="E128" s="13"/>
      <c r="F128" s="13"/>
      <c r="G128" s="13"/>
      <c r="H128" s="13" t="s">
        <v>7</v>
      </c>
      <c r="I128" s="13"/>
      <c r="J128" s="13"/>
      <c r="K128" s="13"/>
      <c r="L128" s="13"/>
      <c r="M128" s="13"/>
      <c r="N128" s="13"/>
      <c r="O128" s="13"/>
      <c r="P128" s="13"/>
      <c r="Q128" s="13"/>
      <c r="R128" s="13"/>
      <c r="S128" s="13"/>
      <c r="T128" s="28"/>
      <c r="U128" s="28"/>
      <c r="V128" s="13"/>
      <c r="W128" s="13"/>
      <c r="X128" s="13"/>
      <c r="Y128" s="13"/>
      <c r="Z128" s="13"/>
      <c r="AA128" s="13"/>
      <c r="AB128" s="13"/>
      <c r="AC128" s="13"/>
      <c r="AD128" s="13"/>
      <c r="AE128" s="13"/>
      <c r="AF128" s="13"/>
      <c r="AG128" s="13"/>
      <c r="AH128" s="12"/>
      <c r="AI128" s="13"/>
      <c r="AJ128" s="14"/>
      <c r="AK128" s="13" t="s">
        <v>7</v>
      </c>
      <c r="AL128" s="13"/>
      <c r="AM128" s="15"/>
      <c r="AN128" s="149"/>
      <c r="AO128" s="14"/>
      <c r="AP128" s="14"/>
      <c r="AQ128" s="14" t="s">
        <v>7</v>
      </c>
      <c r="AR128" s="14"/>
      <c r="AS128" s="15"/>
      <c r="AT128" s="14"/>
      <c r="AU128" s="14"/>
      <c r="AV128" s="14"/>
      <c r="AW128" s="14"/>
      <c r="AX128" s="14"/>
      <c r="AY128" s="14"/>
      <c r="AZ128" s="14" t="s">
        <v>7</v>
      </c>
      <c r="BA128" s="30"/>
      <c r="BB128" s="31"/>
      <c r="BC128" s="31" t="str">
        <f t="shared" si="30"/>
        <v/>
      </c>
      <c r="BD128" s="31" t="str">
        <f t="shared" si="31"/>
        <v/>
      </c>
      <c r="BE128" s="31" t="str">
        <f t="shared" si="32"/>
        <v/>
      </c>
      <c r="BF128" s="31" t="str">
        <f t="shared" si="33"/>
        <v/>
      </c>
      <c r="BG128" s="31" t="str">
        <f t="shared" si="34"/>
        <v>Y</v>
      </c>
      <c r="BH128" s="31" t="str">
        <f t="shared" si="35"/>
        <v/>
      </c>
      <c r="BI128" s="31" t="str">
        <f t="shared" si="36"/>
        <v>Y</v>
      </c>
      <c r="BJ128" s="30" t="str">
        <f t="shared" si="37"/>
        <v/>
      </c>
      <c r="BK128" s="31" t="str">
        <f t="shared" si="38"/>
        <v>Y</v>
      </c>
      <c r="BL128" s="30" t="str">
        <f t="shared" si="39"/>
        <v/>
      </c>
      <c r="BM128" s="31" t="str">
        <f t="shared" si="40"/>
        <v/>
      </c>
      <c r="BN128" s="31" t="str">
        <f t="shared" si="41"/>
        <v/>
      </c>
      <c r="BO128" s="31" t="str">
        <f t="shared" si="42"/>
        <v>Y</v>
      </c>
      <c r="BP128" s="31" t="str">
        <f t="shared" si="43"/>
        <v/>
      </c>
      <c r="BQ128" s="31" t="str">
        <f t="shared" si="44"/>
        <v/>
      </c>
      <c r="BR128" s="31" t="str">
        <f t="shared" si="45"/>
        <v/>
      </c>
      <c r="BS128" s="31" t="str">
        <f t="shared" si="46"/>
        <v>Y</v>
      </c>
      <c r="BT128" s="31" t="str">
        <f t="shared" si="47"/>
        <v/>
      </c>
      <c r="BU128" s="30" t="str">
        <f t="shared" si="48"/>
        <v>Y</v>
      </c>
      <c r="BV128" s="39" t="str">
        <f t="shared" si="49"/>
        <v>Y</v>
      </c>
      <c r="BW128" s="3" t="s">
        <v>250</v>
      </c>
    </row>
    <row r="129" spans="1:75" s="16" customFormat="1" x14ac:dyDescent="0.35">
      <c r="A129" s="11" t="s">
        <v>221</v>
      </c>
      <c r="B129" s="3" t="s">
        <v>14</v>
      </c>
      <c r="C129" s="12"/>
      <c r="D129" s="59"/>
      <c r="E129" s="13"/>
      <c r="F129" s="13"/>
      <c r="G129" s="13"/>
      <c r="H129" s="13"/>
      <c r="I129" s="13"/>
      <c r="J129" s="13"/>
      <c r="K129" s="13"/>
      <c r="L129" s="13"/>
      <c r="M129" s="13"/>
      <c r="N129" s="13"/>
      <c r="O129" s="13"/>
      <c r="P129" s="13"/>
      <c r="Q129" s="13" t="s">
        <v>7</v>
      </c>
      <c r="R129" s="13"/>
      <c r="S129" s="13"/>
      <c r="T129" s="28"/>
      <c r="U129" s="28"/>
      <c r="V129" s="13"/>
      <c r="W129" s="13"/>
      <c r="X129" s="13"/>
      <c r="Y129" s="13"/>
      <c r="Z129" s="13"/>
      <c r="AA129" s="13"/>
      <c r="AB129" s="13" t="s">
        <v>7</v>
      </c>
      <c r="AC129" s="13"/>
      <c r="AD129" s="13"/>
      <c r="AE129" s="13"/>
      <c r="AF129" s="13"/>
      <c r="AG129" s="13"/>
      <c r="AH129" s="12"/>
      <c r="AI129" s="13"/>
      <c r="AJ129" s="14"/>
      <c r="AK129" s="13"/>
      <c r="AL129" s="13" t="s">
        <v>7</v>
      </c>
      <c r="AM129" s="15"/>
      <c r="AN129" s="149"/>
      <c r="AO129" s="14" t="s">
        <v>7</v>
      </c>
      <c r="AP129" s="14"/>
      <c r="AQ129" s="14"/>
      <c r="AR129" s="14"/>
      <c r="AS129" s="15"/>
      <c r="AT129" s="14"/>
      <c r="AU129" s="14"/>
      <c r="AV129" s="14"/>
      <c r="AW129" s="14"/>
      <c r="AX129" s="14"/>
      <c r="AY129" s="14" t="s">
        <v>7</v>
      </c>
      <c r="AZ129" s="14"/>
      <c r="BA129" s="30"/>
      <c r="BB129" s="31"/>
      <c r="BC129" s="31" t="str">
        <f t="shared" si="30"/>
        <v>Y</v>
      </c>
      <c r="BD129" s="31" t="str">
        <f t="shared" si="31"/>
        <v/>
      </c>
      <c r="BE129" s="31" t="str">
        <f t="shared" si="32"/>
        <v/>
      </c>
      <c r="BF129" s="31" t="str">
        <f t="shared" si="33"/>
        <v/>
      </c>
      <c r="BG129" s="31" t="str">
        <f t="shared" si="34"/>
        <v/>
      </c>
      <c r="BH129" s="31" t="str">
        <f t="shared" si="35"/>
        <v>Y</v>
      </c>
      <c r="BI129" s="31" t="str">
        <f t="shared" si="36"/>
        <v/>
      </c>
      <c r="BJ129" s="30" t="str">
        <f t="shared" si="37"/>
        <v>Y</v>
      </c>
      <c r="BK129" s="31" t="str">
        <f t="shared" si="38"/>
        <v>Y</v>
      </c>
      <c r="BL129" s="30" t="str">
        <f t="shared" si="39"/>
        <v/>
      </c>
      <c r="BM129" s="31" t="str">
        <f t="shared" si="40"/>
        <v/>
      </c>
      <c r="BN129" s="31" t="str">
        <f t="shared" si="41"/>
        <v/>
      </c>
      <c r="BO129" s="31" t="str">
        <f t="shared" si="42"/>
        <v/>
      </c>
      <c r="BP129" s="31" t="str">
        <f t="shared" si="43"/>
        <v>Y</v>
      </c>
      <c r="BQ129" s="31" t="str">
        <f t="shared" si="44"/>
        <v/>
      </c>
      <c r="BR129" s="31" t="str">
        <f t="shared" si="45"/>
        <v/>
      </c>
      <c r="BS129" s="31" t="str">
        <f t="shared" si="46"/>
        <v>Y</v>
      </c>
      <c r="BT129" s="31" t="str">
        <f t="shared" si="47"/>
        <v/>
      </c>
      <c r="BU129" s="30" t="str">
        <f t="shared" si="48"/>
        <v/>
      </c>
      <c r="BV129" s="39" t="str">
        <f t="shared" si="49"/>
        <v>Y</v>
      </c>
      <c r="BW129" s="3" t="s">
        <v>267</v>
      </c>
    </row>
    <row r="130" spans="1:75" s="16" customFormat="1" x14ac:dyDescent="0.35">
      <c r="A130" s="11" t="s">
        <v>125</v>
      </c>
      <c r="B130" s="3" t="s">
        <v>14</v>
      </c>
      <c r="C130" s="12" t="s">
        <v>7</v>
      </c>
      <c r="D130" s="59"/>
      <c r="E130" s="13"/>
      <c r="F130" s="13"/>
      <c r="G130" s="13"/>
      <c r="H130" s="13"/>
      <c r="I130" s="13"/>
      <c r="J130" s="13"/>
      <c r="K130" s="13"/>
      <c r="L130" s="13"/>
      <c r="M130" s="13"/>
      <c r="N130" s="13"/>
      <c r="O130" s="13"/>
      <c r="P130" s="13"/>
      <c r="Q130" s="13"/>
      <c r="R130" s="13"/>
      <c r="S130" s="13"/>
      <c r="T130" s="28"/>
      <c r="U130" s="28"/>
      <c r="V130" s="13"/>
      <c r="W130" s="13"/>
      <c r="X130" s="13"/>
      <c r="Y130" s="13"/>
      <c r="Z130" s="13"/>
      <c r="AA130" s="13"/>
      <c r="AB130" s="13" t="s">
        <v>7</v>
      </c>
      <c r="AC130" s="13"/>
      <c r="AD130" s="13"/>
      <c r="AE130" s="13"/>
      <c r="AF130" s="13"/>
      <c r="AG130" s="13"/>
      <c r="AH130" s="12"/>
      <c r="AI130" s="13"/>
      <c r="AJ130" s="14"/>
      <c r="AK130" s="13" t="s">
        <v>7</v>
      </c>
      <c r="AL130" s="13" t="s">
        <v>7</v>
      </c>
      <c r="AM130" s="15"/>
      <c r="AN130" s="149"/>
      <c r="AO130" s="14"/>
      <c r="AP130" s="14"/>
      <c r="AQ130" s="14" t="s">
        <v>7</v>
      </c>
      <c r="AR130" s="14"/>
      <c r="AS130" s="15"/>
      <c r="AT130" s="14"/>
      <c r="AU130" s="14"/>
      <c r="AV130" s="14"/>
      <c r="AW130" s="14"/>
      <c r="AX130" s="14"/>
      <c r="AY130" s="14" t="s">
        <v>7</v>
      </c>
      <c r="AZ130" s="14"/>
      <c r="BA130" s="30"/>
      <c r="BB130" s="31"/>
      <c r="BC130" s="31" t="str">
        <f t="shared" si="30"/>
        <v>Y</v>
      </c>
      <c r="BD130" s="31" t="str">
        <f t="shared" si="31"/>
        <v/>
      </c>
      <c r="BE130" s="31" t="str">
        <f t="shared" si="32"/>
        <v/>
      </c>
      <c r="BF130" s="31" t="str">
        <f t="shared" si="33"/>
        <v/>
      </c>
      <c r="BG130" s="31" t="str">
        <f t="shared" si="34"/>
        <v>Y</v>
      </c>
      <c r="BH130" s="31" t="str">
        <f t="shared" si="35"/>
        <v/>
      </c>
      <c r="BI130" s="31" t="str">
        <f t="shared" si="36"/>
        <v/>
      </c>
      <c r="BJ130" s="30" t="str">
        <f t="shared" si="37"/>
        <v>Y</v>
      </c>
      <c r="BK130" s="31" t="str">
        <f t="shared" si="38"/>
        <v>Y</v>
      </c>
      <c r="BL130" s="30" t="str">
        <f t="shared" si="39"/>
        <v/>
      </c>
      <c r="BM130" s="31" t="str">
        <f t="shared" si="40"/>
        <v/>
      </c>
      <c r="BN130" s="31" t="str">
        <f t="shared" si="41"/>
        <v/>
      </c>
      <c r="BO130" s="31" t="str">
        <f t="shared" si="42"/>
        <v>Y</v>
      </c>
      <c r="BP130" s="31" t="str">
        <f t="shared" si="43"/>
        <v>Y</v>
      </c>
      <c r="BQ130" s="31" t="str">
        <f t="shared" si="44"/>
        <v/>
      </c>
      <c r="BR130" s="31" t="str">
        <f t="shared" si="45"/>
        <v/>
      </c>
      <c r="BS130" s="31" t="str">
        <f t="shared" si="46"/>
        <v/>
      </c>
      <c r="BT130" s="31" t="str">
        <f t="shared" si="47"/>
        <v/>
      </c>
      <c r="BU130" s="30" t="str">
        <f t="shared" si="48"/>
        <v>Y</v>
      </c>
      <c r="BV130" s="39" t="str">
        <f t="shared" si="49"/>
        <v>Y</v>
      </c>
      <c r="BW130" s="3" t="s">
        <v>283</v>
      </c>
    </row>
    <row r="131" spans="1:75" s="16" customFormat="1" x14ac:dyDescent="0.35">
      <c r="A131" s="11" t="s">
        <v>126</v>
      </c>
      <c r="B131" s="3" t="s">
        <v>14</v>
      </c>
      <c r="C131" s="12"/>
      <c r="D131" s="59"/>
      <c r="E131" s="13"/>
      <c r="F131" s="13"/>
      <c r="G131" s="13"/>
      <c r="H131" s="13"/>
      <c r="I131" s="13"/>
      <c r="J131" s="13"/>
      <c r="K131" s="13"/>
      <c r="L131" s="13"/>
      <c r="M131" s="13" t="s">
        <v>7</v>
      </c>
      <c r="N131" s="13"/>
      <c r="O131" s="13"/>
      <c r="P131" s="13"/>
      <c r="Q131" s="13"/>
      <c r="R131" s="13"/>
      <c r="S131" s="13"/>
      <c r="T131" s="28"/>
      <c r="U131" s="28"/>
      <c r="V131" s="13"/>
      <c r="W131" s="13"/>
      <c r="X131" s="13"/>
      <c r="Y131" s="13"/>
      <c r="Z131" s="13"/>
      <c r="AA131" s="13"/>
      <c r="AB131" s="13"/>
      <c r="AC131" s="13"/>
      <c r="AD131" s="13"/>
      <c r="AE131" s="13"/>
      <c r="AF131" s="13"/>
      <c r="AG131" s="13"/>
      <c r="AH131" s="12"/>
      <c r="AI131" s="13"/>
      <c r="AJ131" s="14"/>
      <c r="AK131" s="13"/>
      <c r="AL131" s="13" t="s">
        <v>7</v>
      </c>
      <c r="AM131" s="15"/>
      <c r="AN131" s="149"/>
      <c r="AO131" s="14"/>
      <c r="AP131" s="14"/>
      <c r="AQ131" s="14" t="s">
        <v>7</v>
      </c>
      <c r="AR131" s="14"/>
      <c r="AS131" s="15"/>
      <c r="AT131" s="14"/>
      <c r="AU131" s="14"/>
      <c r="AV131" s="14"/>
      <c r="AW131" s="14"/>
      <c r="AX131" s="14"/>
      <c r="AY131" s="14" t="s">
        <v>7</v>
      </c>
      <c r="AZ131" s="14"/>
      <c r="BA131" s="30"/>
      <c r="BB131" s="31"/>
      <c r="BC131" s="31" t="str">
        <f t="shared" ref="BC131:BC170" si="50">IF((OR(NOT(ISBLANK(P131)), NOT(ISBLANK(Z131)), NOT(ISBLANK(AB131)), NOT(ISBLANK(AC131)), NOT(ISBLANK(AD131)))),"Y","")</f>
        <v/>
      </c>
      <c r="BD131" s="31" t="str">
        <f t="shared" ref="BD131:BD170" si="51">IF((NOT(ISBLANK(W131))),"Y","")</f>
        <v/>
      </c>
      <c r="BE131" s="31" t="str">
        <f t="shared" ref="BE131:BE170" si="52">IF((NOT(ISBLANK(AA131))),"Y","")</f>
        <v/>
      </c>
      <c r="BF131" s="31" t="str">
        <f t="shared" ref="BF131:BF170" si="53">IF((OR(NOT(ISBLANK(R131)), NOT(ISBLANK(Y131)), NOT(ISBLANK(AF131)))),"Y","")</f>
        <v/>
      </c>
      <c r="BG131" s="31" t="str">
        <f t="shared" ref="BG131:BG170" si="54">IF((OR(NOT(ISBLANK(C131)), NOT(ISBLANK(L131)), NOT(ISBLANK(X131)), NOT(ISBLANK(AG131)))),"Y","")</f>
        <v/>
      </c>
      <c r="BH131" s="31" t="str">
        <f t="shared" ref="BH131:BH170" si="55">IF((OR(NOT(ISBLANK(D131)), NOT(ISBLANK(E131)), NOT(ISBLANK(F131)), NOT(ISBLANK(J131)), NOT(ISBLANK(K131)), NOT(ISBLANK(M131)), NOT(ISBLANK(Q131)), NOT(ISBLANK(U131)), NOT(ISBLANK(V131)))),"Y","")</f>
        <v>Y</v>
      </c>
      <c r="BI131" s="31" t="str">
        <f t="shared" ref="BI131:BI170" si="56">IF((OR(NOT(ISBLANK(G131)),  NOT(ISBLANK(H131)), NOT(ISBLANK(I131)), NOT(ISBLANK(N131)), NOT(ISBLANK(O131)), NOT(ISBLANK(T131)), NOT(ISBLANK(S131)), NOT(ISBLANK(AE131)))),"Y","")</f>
        <v/>
      </c>
      <c r="BJ131" s="30" t="str">
        <f t="shared" ref="BJ131:BJ170" si="57">IF((OR(NOT(ISBLANK(P131)), NOT(ISBLANK(W131)), NOT(ISBLANK(Z131)), NOT(ISBLANK(AB131)), NOT(ISBLANK(AC131)), NOT(ISBLANK(AD131)))),"Y","")</f>
        <v/>
      </c>
      <c r="BK131" s="31" t="str">
        <f t="shared" ref="BK131:BK170" si="58">IF((OR(NOT(ISBLANK(C131)), NOT(ISBLANK(D131)), NOT(ISBLANK(E131)), NOT(ISBLANK(F131)), NOT(ISBLANK(G131)),  NOT(ISBLANK(H131)), NOT(ISBLANK(I131)), NOT(ISBLANK(J131)), NOT(ISBLANK(K131)), NOT(ISBLANK(L131)), NOT(ISBLANK(M131)), NOT(ISBLANK(N131)), NOT(ISBLANK(O131)), NOT(ISBLANK(Q131)), NOT(ISBLANK(R131)), NOT(ISBLANK(S131)), NOT(ISBLANK(T131)), NOT(ISBLANK(U131)), NOT(ISBLANK(V131)), NOT(ISBLANK(X131)), NOT(ISBLANK(Y131)), NOT(ISBLANK(AA131)), NOT(ISBLANK(AE131)), NOT(ISBLANK(AF131)), NOT(ISBLANK(AG131)))),"Y","")</f>
        <v>Y</v>
      </c>
      <c r="BL131" s="30" t="str">
        <f t="shared" ref="BL131:BL170" si="59">IF((NOT(ISBLANK(P131))),"Y","")</f>
        <v/>
      </c>
      <c r="BM131" s="31" t="str">
        <f t="shared" ref="BM131:BM170" si="60">IF((OR(NOT(ISBLANK(D131)), NOT(ISBLANK(AC131)), NOT(ISBLANK(AD131)))),"Y","")</f>
        <v/>
      </c>
      <c r="BN131" s="31" t="str">
        <f t="shared" ref="BN131:BN170" si="61">IF((OR(NOT(ISBLANK(E131)), NOT(ISBLANK(L131)), NOT(ISBLANK(Z131)))),"Y","")</f>
        <v/>
      </c>
      <c r="BO131" s="31" t="str">
        <f t="shared" ref="BO131:BO170" si="62">IF((OR(NOT(ISBLANK(C131)), NOT(ISBLANK(AG131)))),"Y","")</f>
        <v/>
      </c>
      <c r="BP131" s="31" t="str">
        <f t="shared" ref="BP131:BP170" si="63">IF((OR(NOT(ISBLANK(W131)), NOT(ISBLANK(AA131)), NOT(ISBLANK(AB131)))),"Y","")</f>
        <v/>
      </c>
      <c r="BQ131" s="31" t="str">
        <f t="shared" ref="BQ131:BQ170" si="64">IF((OR(NOT(ISBLANK(G131)), NOT(ISBLANK(N131)), NOT(ISBLANK(S131)), NOT(ISBLANK(T131)), NOT(ISBLANK(U131)), NOT(ISBLANK(V131)))),"Y","")</f>
        <v/>
      </c>
      <c r="BR131" s="31" t="str">
        <f t="shared" ref="BR131:BR170" si="65">IF((OR(NOT(ISBLANK(F131)),  NOT(ISBLANK(J131)), NOT(ISBLANK(K131)), NOT(ISBLANK(M131)), NOT(ISBLANK(O131)))),"Y","")</f>
        <v>Y</v>
      </c>
      <c r="BS131" s="31" t="str">
        <f t="shared" ref="BS131:BS170" si="66">IF((OR(NOT(ISBLANK(H131)), NOT(ISBLANK(I131)), NOT(ISBLANK(Q131)), NOT(ISBLANK(Y131)), NOT(ISBLANK(AF131)))),"Y","")</f>
        <v/>
      </c>
      <c r="BT131" s="31" t="str">
        <f t="shared" ref="BT131:BT170" si="67">IF((OR(NOT(ISBLANK(R131)), NOT(ISBLANK(X131)), NOT(ISBLANK(AE131)))),"Y","")</f>
        <v/>
      </c>
      <c r="BU131" s="30" t="str">
        <f t="shared" ref="BU131:BU170" si="68">IF((OR(NOT(ISBLANK(C131)), NOT(ISBLANK(D131)), NOT(ISBLANK(E131)), NOT(ISBLANK(L131)), NOT(ISBLANK(P131)), NOT(ISBLANK(Z131)), NOT(ISBLANK(AA131)), NOT(ISBLANK(AC131)), NOT(ISBLANK(AD131)), NOT(ISBLANK(AG131)))),"Y","")</f>
        <v/>
      </c>
      <c r="BV131" s="39" t="str">
        <f t="shared" ref="BV131:BV170" si="69">IF((OR(NOT(ISBLANK(F131)), NOT(ISBLANK(G131)),  NOT(ISBLANK(H131)), NOT(ISBLANK(I131)), NOT(ISBLANK(J131)), NOT(ISBLANK(K131)), NOT(ISBLANK(M131)), NOT(ISBLANK(N131)), NOT(ISBLANK(O131)), NOT(ISBLANK(Q131)), NOT(ISBLANK(R131)), NOT(ISBLANK(S131)), NOT(ISBLANK(T131)), NOT(ISBLANK(U131)), NOT(ISBLANK(V131)), NOT(ISBLANK(W131)), NOT(ISBLANK(X131)), NOT(ISBLANK(Y131)), NOT(ISBLANK(AB131)), NOT(ISBLANK(AE131)), NOT(ISBLANK(AF131)))),"Y","")</f>
        <v>Y</v>
      </c>
      <c r="BW131" s="3" t="s">
        <v>178</v>
      </c>
    </row>
    <row r="132" spans="1:75" s="28" customFormat="1" x14ac:dyDescent="0.35">
      <c r="A132" s="11" t="s">
        <v>127</v>
      </c>
      <c r="B132" s="3" t="s">
        <v>14</v>
      </c>
      <c r="C132" s="12"/>
      <c r="D132" s="59"/>
      <c r="E132" s="13"/>
      <c r="F132" s="13"/>
      <c r="G132" s="13"/>
      <c r="H132" s="13"/>
      <c r="I132" s="13"/>
      <c r="J132" s="13"/>
      <c r="K132" s="13"/>
      <c r="L132" s="13"/>
      <c r="M132" s="13"/>
      <c r="N132" s="13"/>
      <c r="O132" s="13"/>
      <c r="P132" s="13"/>
      <c r="Q132" s="13"/>
      <c r="R132" s="13"/>
      <c r="S132" s="13"/>
      <c r="V132" s="13" t="s">
        <v>7</v>
      </c>
      <c r="W132" s="13" t="s">
        <v>7</v>
      </c>
      <c r="X132" s="13"/>
      <c r="Y132" s="13"/>
      <c r="Z132" s="13"/>
      <c r="AA132" s="13"/>
      <c r="AB132" s="13" t="s">
        <v>7</v>
      </c>
      <c r="AC132" s="13"/>
      <c r="AD132" s="13"/>
      <c r="AE132" s="13"/>
      <c r="AF132" s="13"/>
      <c r="AG132" s="13"/>
      <c r="AH132" s="12"/>
      <c r="AI132" s="13"/>
      <c r="AJ132" s="14"/>
      <c r="AK132" s="13"/>
      <c r="AL132" s="13" t="s">
        <v>7</v>
      </c>
      <c r="AM132" s="15"/>
      <c r="AN132" s="149"/>
      <c r="AO132" s="14" t="s">
        <v>7</v>
      </c>
      <c r="AP132" s="14"/>
      <c r="AQ132" s="14"/>
      <c r="AR132" s="14"/>
      <c r="AS132" s="15"/>
      <c r="AT132" s="14"/>
      <c r="AU132" s="14"/>
      <c r="AV132" s="14"/>
      <c r="AW132" s="14"/>
      <c r="AX132" s="14"/>
      <c r="AY132" s="14" t="s">
        <v>7</v>
      </c>
      <c r="AZ132" s="14"/>
      <c r="BA132" s="30"/>
      <c r="BB132" s="31"/>
      <c r="BC132" s="31" t="str">
        <f t="shared" si="50"/>
        <v>Y</v>
      </c>
      <c r="BD132" s="31" t="str">
        <f t="shared" si="51"/>
        <v>Y</v>
      </c>
      <c r="BE132" s="31" t="str">
        <f t="shared" si="52"/>
        <v/>
      </c>
      <c r="BF132" s="31" t="str">
        <f t="shared" si="53"/>
        <v/>
      </c>
      <c r="BG132" s="31" t="str">
        <f t="shared" si="54"/>
        <v/>
      </c>
      <c r="BH132" s="31" t="str">
        <f t="shared" si="55"/>
        <v>Y</v>
      </c>
      <c r="BI132" s="31" t="str">
        <f t="shared" si="56"/>
        <v/>
      </c>
      <c r="BJ132" s="30" t="str">
        <f t="shared" si="57"/>
        <v>Y</v>
      </c>
      <c r="BK132" s="31" t="str">
        <f t="shared" si="58"/>
        <v>Y</v>
      </c>
      <c r="BL132" s="30" t="str">
        <f t="shared" si="59"/>
        <v/>
      </c>
      <c r="BM132" s="31" t="str">
        <f t="shared" si="60"/>
        <v/>
      </c>
      <c r="BN132" s="31" t="str">
        <f t="shared" si="61"/>
        <v/>
      </c>
      <c r="BO132" s="31" t="str">
        <f t="shared" si="62"/>
        <v/>
      </c>
      <c r="BP132" s="31" t="str">
        <f t="shared" si="63"/>
        <v>Y</v>
      </c>
      <c r="BQ132" s="31" t="str">
        <f t="shared" si="64"/>
        <v>Y</v>
      </c>
      <c r="BR132" s="31" t="str">
        <f t="shared" si="65"/>
        <v/>
      </c>
      <c r="BS132" s="31" t="str">
        <f t="shared" si="66"/>
        <v/>
      </c>
      <c r="BT132" s="31" t="str">
        <f t="shared" si="67"/>
        <v/>
      </c>
      <c r="BU132" s="30" t="str">
        <f t="shared" si="68"/>
        <v/>
      </c>
      <c r="BV132" s="39" t="str">
        <f t="shared" si="69"/>
        <v>Y</v>
      </c>
      <c r="BW132" s="3" t="s">
        <v>329</v>
      </c>
    </row>
    <row r="133" spans="1:75" s="28" customFormat="1" x14ac:dyDescent="0.35">
      <c r="A133" s="11" t="s">
        <v>128</v>
      </c>
      <c r="B133" s="3" t="s">
        <v>12</v>
      </c>
      <c r="C133" s="12"/>
      <c r="D133" s="59"/>
      <c r="E133" s="13"/>
      <c r="F133" s="13"/>
      <c r="G133" s="13"/>
      <c r="H133" s="13"/>
      <c r="I133" s="13"/>
      <c r="J133" s="13"/>
      <c r="K133" s="13"/>
      <c r="L133" s="13"/>
      <c r="M133" s="13"/>
      <c r="N133" s="13"/>
      <c r="O133" s="13"/>
      <c r="P133" s="13"/>
      <c r="Q133" s="13"/>
      <c r="R133" s="13"/>
      <c r="S133" s="13"/>
      <c r="T133" s="28" t="s">
        <v>7</v>
      </c>
      <c r="V133" s="13"/>
      <c r="W133" s="13"/>
      <c r="X133" s="13"/>
      <c r="Y133" s="13"/>
      <c r="Z133" s="13"/>
      <c r="AA133" s="13"/>
      <c r="AB133" s="13"/>
      <c r="AC133" s="13"/>
      <c r="AD133" s="13"/>
      <c r="AE133" s="13"/>
      <c r="AF133" s="13"/>
      <c r="AG133" s="13"/>
      <c r="AH133" s="12"/>
      <c r="AI133" s="13"/>
      <c r="AJ133" s="14"/>
      <c r="AK133" s="13" t="s">
        <v>7</v>
      </c>
      <c r="AL133" s="13"/>
      <c r="AM133" s="15"/>
      <c r="AN133" s="149"/>
      <c r="AO133" s="14"/>
      <c r="AP133" s="14"/>
      <c r="AQ133" s="14"/>
      <c r="AR133" s="14" t="s">
        <v>7</v>
      </c>
      <c r="AS133" s="15" t="s">
        <v>7</v>
      </c>
      <c r="AT133" s="14"/>
      <c r="AU133" s="14"/>
      <c r="AV133" s="14"/>
      <c r="AW133" s="14"/>
      <c r="AX133" s="14"/>
      <c r="AY133" s="14"/>
      <c r="AZ133" s="14"/>
      <c r="BA133" s="30"/>
      <c r="BB133" s="31"/>
      <c r="BC133" s="31" t="str">
        <f t="shared" si="50"/>
        <v/>
      </c>
      <c r="BD133" s="31" t="str">
        <f t="shared" si="51"/>
        <v/>
      </c>
      <c r="BE133" s="31" t="str">
        <f t="shared" si="52"/>
        <v/>
      </c>
      <c r="BF133" s="31" t="str">
        <f t="shared" si="53"/>
        <v/>
      </c>
      <c r="BG133" s="31" t="str">
        <f t="shared" si="54"/>
        <v/>
      </c>
      <c r="BH133" s="31" t="str">
        <f t="shared" si="55"/>
        <v/>
      </c>
      <c r="BI133" s="31" t="str">
        <f t="shared" si="56"/>
        <v>Y</v>
      </c>
      <c r="BJ133" s="30" t="str">
        <f t="shared" si="57"/>
        <v/>
      </c>
      <c r="BK133" s="31" t="str">
        <f t="shared" si="58"/>
        <v>Y</v>
      </c>
      <c r="BL133" s="30" t="str">
        <f t="shared" si="59"/>
        <v/>
      </c>
      <c r="BM133" s="31" t="str">
        <f t="shared" si="60"/>
        <v/>
      </c>
      <c r="BN133" s="31" t="str">
        <f t="shared" si="61"/>
        <v/>
      </c>
      <c r="BO133" s="31" t="str">
        <f t="shared" si="62"/>
        <v/>
      </c>
      <c r="BP133" s="31" t="str">
        <f t="shared" si="63"/>
        <v/>
      </c>
      <c r="BQ133" s="31" t="str">
        <f t="shared" si="64"/>
        <v>Y</v>
      </c>
      <c r="BR133" s="31" t="str">
        <f t="shared" si="65"/>
        <v/>
      </c>
      <c r="BS133" s="31" t="str">
        <f t="shared" si="66"/>
        <v/>
      </c>
      <c r="BT133" s="31" t="str">
        <f t="shared" si="67"/>
        <v/>
      </c>
      <c r="BU133" s="30" t="str">
        <f t="shared" si="68"/>
        <v/>
      </c>
      <c r="BV133" s="39" t="str">
        <f t="shared" si="69"/>
        <v>Y</v>
      </c>
      <c r="BW133" s="3" t="s">
        <v>183</v>
      </c>
    </row>
    <row r="134" spans="1:75" s="28" customFormat="1" x14ac:dyDescent="0.35">
      <c r="A134" s="11" t="s">
        <v>261</v>
      </c>
      <c r="B134" s="3" t="s">
        <v>14</v>
      </c>
      <c r="C134" s="12"/>
      <c r="D134" s="59"/>
      <c r="E134" s="13"/>
      <c r="F134" s="13"/>
      <c r="G134" s="13"/>
      <c r="H134" s="13"/>
      <c r="I134" s="13"/>
      <c r="J134" s="13"/>
      <c r="K134" s="13"/>
      <c r="L134" s="13"/>
      <c r="M134" s="13"/>
      <c r="N134" s="13"/>
      <c r="O134" s="13"/>
      <c r="P134" s="13"/>
      <c r="Q134" s="13"/>
      <c r="R134" s="13"/>
      <c r="S134" s="13"/>
      <c r="T134" s="28" t="s">
        <v>7</v>
      </c>
      <c r="V134" s="13"/>
      <c r="W134" s="13"/>
      <c r="X134" s="13"/>
      <c r="Y134" s="13"/>
      <c r="Z134" s="13"/>
      <c r="AA134" s="13"/>
      <c r="AB134" s="13"/>
      <c r="AC134" s="13"/>
      <c r="AD134" s="13"/>
      <c r="AE134" s="13"/>
      <c r="AF134" s="13"/>
      <c r="AG134" s="13"/>
      <c r="AH134" s="12"/>
      <c r="AI134" s="13"/>
      <c r="AJ134" s="14"/>
      <c r="AK134" s="13" t="s">
        <v>7</v>
      </c>
      <c r="AL134" s="13"/>
      <c r="AM134" s="15"/>
      <c r="AN134" s="149"/>
      <c r="AO134" s="14"/>
      <c r="AP134" s="14"/>
      <c r="AQ134" s="14" t="s">
        <v>7</v>
      </c>
      <c r="AR134" s="14"/>
      <c r="AS134" s="15"/>
      <c r="AT134" s="14"/>
      <c r="AU134" s="14"/>
      <c r="AV134" s="14"/>
      <c r="AW134" s="14"/>
      <c r="AX134" s="14"/>
      <c r="AY134" s="14" t="s">
        <v>7</v>
      </c>
      <c r="AZ134" s="14"/>
      <c r="BA134" s="30"/>
      <c r="BB134" s="31"/>
      <c r="BC134" s="31" t="str">
        <f t="shared" si="50"/>
        <v/>
      </c>
      <c r="BD134" s="31" t="str">
        <f t="shared" si="51"/>
        <v/>
      </c>
      <c r="BE134" s="31" t="str">
        <f t="shared" si="52"/>
        <v/>
      </c>
      <c r="BF134" s="31" t="str">
        <f t="shared" si="53"/>
        <v/>
      </c>
      <c r="BG134" s="31" t="str">
        <f t="shared" si="54"/>
        <v/>
      </c>
      <c r="BH134" s="31" t="str">
        <f t="shared" si="55"/>
        <v/>
      </c>
      <c r="BI134" s="31" t="str">
        <f t="shared" si="56"/>
        <v>Y</v>
      </c>
      <c r="BJ134" s="30" t="str">
        <f t="shared" si="57"/>
        <v/>
      </c>
      <c r="BK134" s="31" t="str">
        <f t="shared" si="58"/>
        <v>Y</v>
      </c>
      <c r="BL134" s="30" t="str">
        <f t="shared" si="59"/>
        <v/>
      </c>
      <c r="BM134" s="31" t="str">
        <f t="shared" si="60"/>
        <v/>
      </c>
      <c r="BN134" s="31" t="str">
        <f t="shared" si="61"/>
        <v/>
      </c>
      <c r="BO134" s="31" t="str">
        <f t="shared" si="62"/>
        <v/>
      </c>
      <c r="BP134" s="31" t="str">
        <f t="shared" si="63"/>
        <v/>
      </c>
      <c r="BQ134" s="31" t="str">
        <f t="shared" si="64"/>
        <v>Y</v>
      </c>
      <c r="BR134" s="31" t="str">
        <f t="shared" si="65"/>
        <v/>
      </c>
      <c r="BS134" s="31" t="str">
        <f t="shared" si="66"/>
        <v/>
      </c>
      <c r="BT134" s="31" t="str">
        <f t="shared" si="67"/>
        <v/>
      </c>
      <c r="BU134" s="30" t="str">
        <f t="shared" si="68"/>
        <v/>
      </c>
      <c r="BV134" s="39" t="str">
        <f t="shared" si="69"/>
        <v>Y</v>
      </c>
      <c r="BW134" s="3" t="s">
        <v>183</v>
      </c>
    </row>
    <row r="135" spans="1:75" s="28" customFormat="1" x14ac:dyDescent="0.35">
      <c r="A135" s="11" t="s">
        <v>129</v>
      </c>
      <c r="B135" s="3" t="s">
        <v>14</v>
      </c>
      <c r="C135" s="12"/>
      <c r="D135" s="59"/>
      <c r="E135" s="13"/>
      <c r="F135" s="13"/>
      <c r="G135" s="13"/>
      <c r="H135" s="13"/>
      <c r="I135" s="13"/>
      <c r="J135" s="13"/>
      <c r="K135" s="13"/>
      <c r="L135" s="13"/>
      <c r="M135" s="13"/>
      <c r="N135" s="13"/>
      <c r="O135" s="13"/>
      <c r="P135" s="13"/>
      <c r="Q135" s="13"/>
      <c r="R135" s="13"/>
      <c r="S135" s="13"/>
      <c r="V135" s="13" t="s">
        <v>7</v>
      </c>
      <c r="W135" s="13"/>
      <c r="X135" s="13"/>
      <c r="Y135" s="13"/>
      <c r="Z135" s="13"/>
      <c r="AA135" s="13"/>
      <c r="AB135" s="13" t="s">
        <v>7</v>
      </c>
      <c r="AC135" s="13"/>
      <c r="AD135" s="13"/>
      <c r="AE135" s="13"/>
      <c r="AF135" s="13"/>
      <c r="AG135" s="13"/>
      <c r="AH135" s="12"/>
      <c r="AI135" s="13"/>
      <c r="AJ135" s="14"/>
      <c r="AK135" s="13"/>
      <c r="AL135" s="13" t="s">
        <v>7</v>
      </c>
      <c r="AM135" s="15"/>
      <c r="AN135" s="149" t="s">
        <v>7</v>
      </c>
      <c r="AO135" s="14"/>
      <c r="AP135" s="14"/>
      <c r="AQ135" s="14"/>
      <c r="AR135" s="14"/>
      <c r="AS135" s="15"/>
      <c r="AT135" s="14"/>
      <c r="AU135" s="14"/>
      <c r="AV135" s="14"/>
      <c r="AW135" s="14"/>
      <c r="AX135" s="14"/>
      <c r="AY135" s="14" t="s">
        <v>7</v>
      </c>
      <c r="AZ135" s="14"/>
      <c r="BA135" s="30"/>
      <c r="BB135" s="31"/>
      <c r="BC135" s="31" t="str">
        <f t="shared" si="50"/>
        <v>Y</v>
      </c>
      <c r="BD135" s="31" t="str">
        <f t="shared" si="51"/>
        <v/>
      </c>
      <c r="BE135" s="31" t="str">
        <f t="shared" si="52"/>
        <v/>
      </c>
      <c r="BF135" s="31" t="str">
        <f t="shared" si="53"/>
        <v/>
      </c>
      <c r="BG135" s="31" t="str">
        <f t="shared" si="54"/>
        <v/>
      </c>
      <c r="BH135" s="31" t="str">
        <f t="shared" si="55"/>
        <v>Y</v>
      </c>
      <c r="BI135" s="31" t="str">
        <f t="shared" si="56"/>
        <v/>
      </c>
      <c r="BJ135" s="30" t="str">
        <f t="shared" si="57"/>
        <v>Y</v>
      </c>
      <c r="BK135" s="31" t="str">
        <f t="shared" si="58"/>
        <v>Y</v>
      </c>
      <c r="BL135" s="30" t="str">
        <f t="shared" si="59"/>
        <v/>
      </c>
      <c r="BM135" s="31" t="str">
        <f t="shared" si="60"/>
        <v/>
      </c>
      <c r="BN135" s="31" t="str">
        <f t="shared" si="61"/>
        <v/>
      </c>
      <c r="BO135" s="31" t="str">
        <f t="shared" si="62"/>
        <v/>
      </c>
      <c r="BP135" s="31" t="str">
        <f t="shared" si="63"/>
        <v>Y</v>
      </c>
      <c r="BQ135" s="31" t="str">
        <f t="shared" si="64"/>
        <v>Y</v>
      </c>
      <c r="BR135" s="31" t="str">
        <f t="shared" si="65"/>
        <v/>
      </c>
      <c r="BS135" s="31" t="str">
        <f t="shared" si="66"/>
        <v/>
      </c>
      <c r="BT135" s="31" t="str">
        <f t="shared" si="67"/>
        <v/>
      </c>
      <c r="BU135" s="30" t="str">
        <f t="shared" si="68"/>
        <v/>
      </c>
      <c r="BV135" s="39" t="str">
        <f t="shared" si="69"/>
        <v>Y</v>
      </c>
      <c r="BW135" s="3" t="s">
        <v>444</v>
      </c>
    </row>
    <row r="136" spans="1:75" s="28" customFormat="1" x14ac:dyDescent="0.35">
      <c r="A136" s="11" t="s">
        <v>130</v>
      </c>
      <c r="B136" s="3" t="s">
        <v>6</v>
      </c>
      <c r="C136" s="12"/>
      <c r="D136" s="59"/>
      <c r="E136" s="13"/>
      <c r="F136" s="13"/>
      <c r="G136" s="13"/>
      <c r="H136" s="13"/>
      <c r="I136" s="13"/>
      <c r="J136" s="13"/>
      <c r="K136" s="13" t="s">
        <v>7</v>
      </c>
      <c r="L136" s="13"/>
      <c r="M136" s="13" t="s">
        <v>7</v>
      </c>
      <c r="N136" s="13"/>
      <c r="O136" s="13"/>
      <c r="P136" s="13"/>
      <c r="Q136" s="13"/>
      <c r="R136" s="13"/>
      <c r="S136" s="13"/>
      <c r="V136" s="13"/>
      <c r="W136" s="13"/>
      <c r="X136" s="13"/>
      <c r="Y136" s="13"/>
      <c r="Z136" s="13"/>
      <c r="AA136" s="13"/>
      <c r="AB136" s="13"/>
      <c r="AC136" s="13"/>
      <c r="AD136" s="13"/>
      <c r="AE136" s="13"/>
      <c r="AF136" s="13"/>
      <c r="AG136" s="13"/>
      <c r="AH136" s="12"/>
      <c r="AI136" s="13"/>
      <c r="AJ136" s="14"/>
      <c r="AK136" s="13" t="s">
        <v>7</v>
      </c>
      <c r="AL136" s="13" t="s">
        <v>7</v>
      </c>
      <c r="AM136" s="15"/>
      <c r="AN136" s="149"/>
      <c r="AO136" s="14"/>
      <c r="AP136" s="14"/>
      <c r="AQ136" s="14" t="s">
        <v>7</v>
      </c>
      <c r="AR136" s="14"/>
      <c r="AS136" s="15"/>
      <c r="AT136" s="14"/>
      <c r="AU136" s="14" t="s">
        <v>7</v>
      </c>
      <c r="AV136" s="14"/>
      <c r="AW136" s="14"/>
      <c r="AX136" s="14"/>
      <c r="AY136" s="14"/>
      <c r="AZ136" s="14"/>
      <c r="BA136" s="30"/>
      <c r="BB136" s="31"/>
      <c r="BC136" s="31" t="str">
        <f t="shared" si="50"/>
        <v/>
      </c>
      <c r="BD136" s="31" t="str">
        <f t="shared" si="51"/>
        <v/>
      </c>
      <c r="BE136" s="31" t="str">
        <f t="shared" si="52"/>
        <v/>
      </c>
      <c r="BF136" s="31" t="str">
        <f t="shared" si="53"/>
        <v/>
      </c>
      <c r="BG136" s="31" t="str">
        <f t="shared" si="54"/>
        <v/>
      </c>
      <c r="BH136" s="31" t="str">
        <f t="shared" si="55"/>
        <v>Y</v>
      </c>
      <c r="BI136" s="31" t="str">
        <f t="shared" si="56"/>
        <v/>
      </c>
      <c r="BJ136" s="30" t="str">
        <f t="shared" si="57"/>
        <v/>
      </c>
      <c r="BK136" s="31" t="str">
        <f t="shared" si="58"/>
        <v>Y</v>
      </c>
      <c r="BL136" s="30" t="str">
        <f t="shared" si="59"/>
        <v/>
      </c>
      <c r="BM136" s="31" t="str">
        <f t="shared" si="60"/>
        <v/>
      </c>
      <c r="BN136" s="31" t="str">
        <f t="shared" si="61"/>
        <v/>
      </c>
      <c r="BO136" s="31" t="str">
        <f t="shared" si="62"/>
        <v/>
      </c>
      <c r="BP136" s="31" t="str">
        <f t="shared" si="63"/>
        <v/>
      </c>
      <c r="BQ136" s="31" t="str">
        <f t="shared" si="64"/>
        <v/>
      </c>
      <c r="BR136" s="31" t="str">
        <f t="shared" si="65"/>
        <v>Y</v>
      </c>
      <c r="BS136" s="31" t="str">
        <f t="shared" si="66"/>
        <v/>
      </c>
      <c r="BT136" s="31" t="str">
        <f t="shared" si="67"/>
        <v/>
      </c>
      <c r="BU136" s="30" t="str">
        <f t="shared" si="68"/>
        <v/>
      </c>
      <c r="BV136" s="39" t="str">
        <f t="shared" si="69"/>
        <v>Y</v>
      </c>
      <c r="BW136" s="3" t="s">
        <v>339</v>
      </c>
    </row>
    <row r="137" spans="1:75" s="28" customFormat="1" x14ac:dyDescent="0.35">
      <c r="A137" s="11" t="s">
        <v>131</v>
      </c>
      <c r="B137" s="3" t="s">
        <v>83</v>
      </c>
      <c r="C137" s="12" t="s">
        <v>7</v>
      </c>
      <c r="D137" s="59"/>
      <c r="E137" s="13"/>
      <c r="F137" s="13"/>
      <c r="G137" s="13"/>
      <c r="H137" s="13"/>
      <c r="I137" s="13"/>
      <c r="J137" s="13"/>
      <c r="K137" s="13"/>
      <c r="L137" s="13"/>
      <c r="M137" s="13"/>
      <c r="N137" s="13"/>
      <c r="O137" s="13"/>
      <c r="P137" s="13"/>
      <c r="Q137" s="13"/>
      <c r="R137" s="13"/>
      <c r="S137" s="13"/>
      <c r="V137" s="13"/>
      <c r="W137" s="13"/>
      <c r="X137" s="13"/>
      <c r="Y137" s="13"/>
      <c r="Z137" s="13"/>
      <c r="AA137" s="13"/>
      <c r="AB137" s="13"/>
      <c r="AC137" s="13"/>
      <c r="AD137" s="13"/>
      <c r="AE137" s="13"/>
      <c r="AF137" s="13"/>
      <c r="AG137" s="13"/>
      <c r="AH137" s="12"/>
      <c r="AI137" s="13"/>
      <c r="AJ137" s="14"/>
      <c r="AK137" s="13" t="s">
        <v>7</v>
      </c>
      <c r="AL137" s="13"/>
      <c r="AM137" s="15"/>
      <c r="AN137" s="149"/>
      <c r="AO137" s="14"/>
      <c r="AP137" s="14"/>
      <c r="AQ137" s="14" t="s">
        <v>7</v>
      </c>
      <c r="AR137" s="14"/>
      <c r="AS137" s="15"/>
      <c r="AT137" s="14" t="s">
        <v>7</v>
      </c>
      <c r="AU137" s="14"/>
      <c r="AV137" s="14"/>
      <c r="AW137" s="14"/>
      <c r="AX137" s="14"/>
      <c r="AY137" s="14"/>
      <c r="AZ137" s="14"/>
      <c r="BA137" s="30"/>
      <c r="BB137" s="31"/>
      <c r="BC137" s="31" t="str">
        <f t="shared" si="50"/>
        <v/>
      </c>
      <c r="BD137" s="31" t="str">
        <f t="shared" si="51"/>
        <v/>
      </c>
      <c r="BE137" s="31" t="str">
        <f t="shared" si="52"/>
        <v/>
      </c>
      <c r="BF137" s="31" t="str">
        <f t="shared" si="53"/>
        <v/>
      </c>
      <c r="BG137" s="31" t="str">
        <f t="shared" si="54"/>
        <v>Y</v>
      </c>
      <c r="BH137" s="31" t="str">
        <f t="shared" si="55"/>
        <v/>
      </c>
      <c r="BI137" s="31" t="str">
        <f t="shared" si="56"/>
        <v/>
      </c>
      <c r="BJ137" s="30" t="str">
        <f t="shared" si="57"/>
        <v/>
      </c>
      <c r="BK137" s="31" t="str">
        <f t="shared" si="58"/>
        <v>Y</v>
      </c>
      <c r="BL137" s="30" t="str">
        <f t="shared" si="59"/>
        <v/>
      </c>
      <c r="BM137" s="31" t="str">
        <f t="shared" si="60"/>
        <v/>
      </c>
      <c r="BN137" s="31" t="str">
        <f t="shared" si="61"/>
        <v/>
      </c>
      <c r="BO137" s="31" t="str">
        <f t="shared" si="62"/>
        <v>Y</v>
      </c>
      <c r="BP137" s="31" t="str">
        <f t="shared" si="63"/>
        <v/>
      </c>
      <c r="BQ137" s="31" t="str">
        <f t="shared" si="64"/>
        <v/>
      </c>
      <c r="BR137" s="31" t="str">
        <f t="shared" si="65"/>
        <v/>
      </c>
      <c r="BS137" s="31" t="str">
        <f t="shared" si="66"/>
        <v/>
      </c>
      <c r="BT137" s="31" t="str">
        <f t="shared" si="67"/>
        <v/>
      </c>
      <c r="BU137" s="30" t="str">
        <f t="shared" si="68"/>
        <v>Y</v>
      </c>
      <c r="BV137" s="39" t="str">
        <f t="shared" si="69"/>
        <v/>
      </c>
      <c r="BW137" s="3" t="s">
        <v>235</v>
      </c>
    </row>
    <row r="138" spans="1:75" x14ac:dyDescent="0.35">
      <c r="A138" s="11" t="s">
        <v>132</v>
      </c>
      <c r="B138" s="3" t="s">
        <v>14</v>
      </c>
      <c r="C138" s="12"/>
      <c r="D138" s="59"/>
      <c r="E138" s="13"/>
      <c r="F138" s="13"/>
      <c r="G138" s="13"/>
      <c r="H138" s="13" t="s">
        <v>7</v>
      </c>
      <c r="I138" s="13"/>
      <c r="J138" s="13"/>
      <c r="K138" s="13"/>
      <c r="L138" s="13"/>
      <c r="N138" s="13"/>
      <c r="Q138" s="13"/>
      <c r="R138" s="13"/>
      <c r="S138" s="13"/>
      <c r="V138" s="13"/>
      <c r="W138" s="13"/>
      <c r="X138" s="13"/>
      <c r="Y138" s="13"/>
      <c r="Z138" s="13"/>
      <c r="AA138" s="13"/>
      <c r="AB138" s="13"/>
      <c r="AD138" s="13"/>
      <c r="AE138" s="13"/>
      <c r="AF138" s="13"/>
      <c r="AG138" s="13"/>
      <c r="AH138" s="12"/>
      <c r="AI138" s="13"/>
      <c r="AJ138" s="14"/>
      <c r="AK138" s="13" t="s">
        <v>7</v>
      </c>
      <c r="AL138" s="13"/>
      <c r="AM138" s="15"/>
      <c r="AN138" s="149"/>
      <c r="AO138" s="14"/>
      <c r="AP138" s="14"/>
      <c r="AQ138" s="14" t="s">
        <v>7</v>
      </c>
      <c r="AR138" s="14"/>
      <c r="AS138" s="15"/>
      <c r="AT138" s="14"/>
      <c r="AU138" s="14"/>
      <c r="AV138" s="14"/>
      <c r="AW138" s="14"/>
      <c r="AX138" s="14"/>
      <c r="AY138" s="14" t="s">
        <v>7</v>
      </c>
      <c r="AZ138" s="14"/>
      <c r="BC138" s="31" t="str">
        <f t="shared" si="50"/>
        <v/>
      </c>
      <c r="BD138" s="31" t="str">
        <f t="shared" si="51"/>
        <v/>
      </c>
      <c r="BE138" s="31" t="str">
        <f t="shared" si="52"/>
        <v/>
      </c>
      <c r="BF138" s="31" t="str">
        <f t="shared" si="53"/>
        <v/>
      </c>
      <c r="BG138" s="31" t="str">
        <f t="shared" si="54"/>
        <v/>
      </c>
      <c r="BH138" s="31" t="str">
        <f t="shared" si="55"/>
        <v/>
      </c>
      <c r="BI138" s="31" t="str">
        <f t="shared" si="56"/>
        <v>Y</v>
      </c>
      <c r="BJ138" s="30" t="str">
        <f t="shared" si="57"/>
        <v/>
      </c>
      <c r="BK138" s="31" t="str">
        <f t="shared" si="58"/>
        <v>Y</v>
      </c>
      <c r="BL138" s="30" t="str">
        <f t="shared" si="59"/>
        <v/>
      </c>
      <c r="BM138" s="31" t="str">
        <f t="shared" si="60"/>
        <v/>
      </c>
      <c r="BN138" s="31" t="str">
        <f t="shared" si="61"/>
        <v/>
      </c>
      <c r="BO138" s="31" t="str">
        <f t="shared" si="62"/>
        <v/>
      </c>
      <c r="BP138" s="31" t="str">
        <f t="shared" si="63"/>
        <v/>
      </c>
      <c r="BQ138" s="31" t="str">
        <f t="shared" si="64"/>
        <v/>
      </c>
      <c r="BR138" s="31" t="str">
        <f t="shared" si="65"/>
        <v/>
      </c>
      <c r="BS138" s="31" t="str">
        <f t="shared" si="66"/>
        <v>Y</v>
      </c>
      <c r="BT138" s="31" t="str">
        <f t="shared" si="67"/>
        <v/>
      </c>
      <c r="BU138" s="30" t="str">
        <f t="shared" si="68"/>
        <v/>
      </c>
      <c r="BV138" s="39" t="str">
        <f t="shared" si="69"/>
        <v>Y</v>
      </c>
      <c r="BW138" s="3" t="s">
        <v>211</v>
      </c>
    </row>
    <row r="139" spans="1:75" ht="29" x14ac:dyDescent="0.35">
      <c r="A139" s="11" t="s">
        <v>133</v>
      </c>
      <c r="B139" s="3" t="s">
        <v>18</v>
      </c>
      <c r="C139" s="12"/>
      <c r="D139" s="59"/>
      <c r="E139" s="13"/>
      <c r="F139" s="13"/>
      <c r="G139" s="13"/>
      <c r="H139" s="13" t="s">
        <v>7</v>
      </c>
      <c r="I139" s="13"/>
      <c r="J139" s="13"/>
      <c r="K139" s="13"/>
      <c r="L139" s="13"/>
      <c r="N139" s="13"/>
      <c r="Q139" s="13"/>
      <c r="R139" s="13"/>
      <c r="S139" s="13"/>
      <c r="V139" s="13"/>
      <c r="W139" s="13"/>
      <c r="X139" s="13"/>
      <c r="Y139" s="13"/>
      <c r="Z139" s="13"/>
      <c r="AA139" s="13"/>
      <c r="AB139" s="13"/>
      <c r="AD139" s="13"/>
      <c r="AE139" s="13"/>
      <c r="AF139" s="13"/>
      <c r="AG139" s="13"/>
      <c r="AH139" s="12"/>
      <c r="AI139" s="13"/>
      <c r="AJ139" s="14"/>
      <c r="AK139" s="13" t="s">
        <v>7</v>
      </c>
      <c r="AL139" s="13"/>
      <c r="AM139" s="15"/>
      <c r="AN139" s="149"/>
      <c r="AO139" s="14"/>
      <c r="AP139" s="14"/>
      <c r="AQ139" s="14" t="s">
        <v>7</v>
      </c>
      <c r="AR139" s="14"/>
      <c r="AS139" s="15"/>
      <c r="AT139" s="14" t="s">
        <v>7</v>
      </c>
      <c r="AU139" s="14"/>
      <c r="AV139" s="14"/>
      <c r="AW139" s="14"/>
      <c r="AX139" s="14"/>
      <c r="AY139" s="14"/>
      <c r="AZ139" s="14"/>
      <c r="BC139" s="31" t="str">
        <f t="shared" si="50"/>
        <v/>
      </c>
      <c r="BD139" s="31" t="str">
        <f t="shared" si="51"/>
        <v/>
      </c>
      <c r="BE139" s="31" t="str">
        <f t="shared" si="52"/>
        <v/>
      </c>
      <c r="BF139" s="31" t="str">
        <f t="shared" si="53"/>
        <v/>
      </c>
      <c r="BG139" s="31" t="str">
        <f t="shared" si="54"/>
        <v/>
      </c>
      <c r="BH139" s="31" t="str">
        <f t="shared" si="55"/>
        <v/>
      </c>
      <c r="BI139" s="31" t="str">
        <f t="shared" si="56"/>
        <v>Y</v>
      </c>
      <c r="BJ139" s="30" t="str">
        <f t="shared" si="57"/>
        <v/>
      </c>
      <c r="BK139" s="31" t="str">
        <f t="shared" si="58"/>
        <v>Y</v>
      </c>
      <c r="BL139" s="30" t="str">
        <f t="shared" si="59"/>
        <v/>
      </c>
      <c r="BM139" s="31" t="str">
        <f t="shared" si="60"/>
        <v/>
      </c>
      <c r="BN139" s="31" t="str">
        <f t="shared" si="61"/>
        <v/>
      </c>
      <c r="BO139" s="31" t="str">
        <f t="shared" si="62"/>
        <v/>
      </c>
      <c r="BP139" s="31" t="str">
        <f t="shared" si="63"/>
        <v/>
      </c>
      <c r="BQ139" s="31" t="str">
        <f t="shared" si="64"/>
        <v/>
      </c>
      <c r="BR139" s="31" t="str">
        <f t="shared" si="65"/>
        <v/>
      </c>
      <c r="BS139" s="31" t="str">
        <f t="shared" si="66"/>
        <v>Y</v>
      </c>
      <c r="BT139" s="31" t="str">
        <f t="shared" si="67"/>
        <v/>
      </c>
      <c r="BU139" s="30" t="str">
        <f t="shared" si="68"/>
        <v/>
      </c>
      <c r="BV139" s="39" t="str">
        <f t="shared" si="69"/>
        <v>Y</v>
      </c>
      <c r="BW139" s="3" t="s">
        <v>251</v>
      </c>
    </row>
    <row r="140" spans="1:75" ht="29" x14ac:dyDescent="0.35">
      <c r="A140" s="11" t="s">
        <v>134</v>
      </c>
      <c r="B140" s="3" t="s">
        <v>24</v>
      </c>
      <c r="C140" s="12" t="s">
        <v>7</v>
      </c>
      <c r="D140" s="59"/>
      <c r="E140" s="13"/>
      <c r="F140" s="13"/>
      <c r="G140" s="13"/>
      <c r="H140" s="13"/>
      <c r="I140" s="13"/>
      <c r="J140" s="13"/>
      <c r="K140" s="13"/>
      <c r="L140" s="13"/>
      <c r="N140" s="13"/>
      <c r="Q140" s="13"/>
      <c r="R140" s="13"/>
      <c r="S140" s="13"/>
      <c r="V140" s="13"/>
      <c r="W140" s="13"/>
      <c r="X140" s="13"/>
      <c r="Y140" s="13"/>
      <c r="Z140" s="13"/>
      <c r="AA140" s="13"/>
      <c r="AB140" s="13"/>
      <c r="AD140" s="13"/>
      <c r="AE140" s="13"/>
      <c r="AF140" s="13"/>
      <c r="AG140" s="13"/>
      <c r="AH140" s="12"/>
      <c r="AI140" s="13"/>
      <c r="AJ140" s="14"/>
      <c r="AK140" s="13" t="s">
        <v>7</v>
      </c>
      <c r="AL140" s="13"/>
      <c r="AM140" s="15"/>
      <c r="AN140" s="149"/>
      <c r="AO140" s="14"/>
      <c r="AP140" s="14"/>
      <c r="AQ140" s="14" t="s">
        <v>7</v>
      </c>
      <c r="AR140" s="14"/>
      <c r="AS140" s="15"/>
      <c r="AT140" s="14"/>
      <c r="AU140" s="14"/>
      <c r="AV140" s="14"/>
      <c r="AW140" s="14"/>
      <c r="AX140" s="14"/>
      <c r="AY140" s="14"/>
      <c r="AZ140" s="14" t="s">
        <v>7</v>
      </c>
      <c r="BC140" s="31" t="str">
        <f t="shared" si="50"/>
        <v/>
      </c>
      <c r="BD140" s="31" t="str">
        <f t="shared" si="51"/>
        <v/>
      </c>
      <c r="BE140" s="31" t="str">
        <f t="shared" si="52"/>
        <v/>
      </c>
      <c r="BF140" s="31" t="str">
        <f t="shared" si="53"/>
        <v/>
      </c>
      <c r="BG140" s="31" t="str">
        <f t="shared" si="54"/>
        <v>Y</v>
      </c>
      <c r="BH140" s="31" t="str">
        <f t="shared" si="55"/>
        <v/>
      </c>
      <c r="BI140" s="31" t="str">
        <f t="shared" si="56"/>
        <v/>
      </c>
      <c r="BJ140" s="30" t="str">
        <f t="shared" si="57"/>
        <v/>
      </c>
      <c r="BK140" s="31" t="str">
        <f t="shared" si="58"/>
        <v>Y</v>
      </c>
      <c r="BL140" s="30" t="str">
        <f t="shared" si="59"/>
        <v/>
      </c>
      <c r="BM140" s="31" t="str">
        <f t="shared" si="60"/>
        <v/>
      </c>
      <c r="BN140" s="31" t="str">
        <f t="shared" si="61"/>
        <v/>
      </c>
      <c r="BO140" s="31" t="str">
        <f t="shared" si="62"/>
        <v>Y</v>
      </c>
      <c r="BP140" s="31" t="str">
        <f t="shared" si="63"/>
        <v/>
      </c>
      <c r="BQ140" s="31" t="str">
        <f t="shared" si="64"/>
        <v/>
      </c>
      <c r="BR140" s="31" t="str">
        <f t="shared" si="65"/>
        <v/>
      </c>
      <c r="BS140" s="31" t="str">
        <f t="shared" si="66"/>
        <v/>
      </c>
      <c r="BT140" s="31" t="str">
        <f t="shared" si="67"/>
        <v/>
      </c>
      <c r="BU140" s="30" t="str">
        <f t="shared" si="68"/>
        <v>Y</v>
      </c>
      <c r="BV140" s="39" t="str">
        <f t="shared" si="69"/>
        <v/>
      </c>
      <c r="BW140" s="3" t="s">
        <v>252</v>
      </c>
    </row>
    <row r="141" spans="1:75" x14ac:dyDescent="0.35">
      <c r="A141" s="11" t="s">
        <v>135</v>
      </c>
      <c r="B141" s="3" t="s">
        <v>384</v>
      </c>
      <c r="C141" s="12"/>
      <c r="D141" s="59"/>
      <c r="E141" s="13"/>
      <c r="F141" s="13" t="s">
        <v>7</v>
      </c>
      <c r="G141" s="13"/>
      <c r="H141" s="13"/>
      <c r="I141" s="13"/>
      <c r="J141" s="13"/>
      <c r="K141" s="13"/>
      <c r="L141" s="13"/>
      <c r="N141" s="13"/>
      <c r="Q141" s="13"/>
      <c r="R141" s="13"/>
      <c r="S141" s="13"/>
      <c r="V141" s="13"/>
      <c r="W141" s="13" t="s">
        <v>7</v>
      </c>
      <c r="X141" s="13"/>
      <c r="Y141" s="13"/>
      <c r="Z141" s="13"/>
      <c r="AA141" s="13"/>
      <c r="AB141" s="13"/>
      <c r="AD141" s="13"/>
      <c r="AE141" s="13"/>
      <c r="AF141" s="13"/>
      <c r="AG141" s="13"/>
      <c r="AH141" s="12"/>
      <c r="AI141" s="13"/>
      <c r="AJ141" s="14"/>
      <c r="AK141" s="13"/>
      <c r="AL141" s="13" t="s">
        <v>7</v>
      </c>
      <c r="AM141" s="15"/>
      <c r="AN141" s="149" t="s">
        <v>7</v>
      </c>
      <c r="AO141" s="14"/>
      <c r="AP141" s="14"/>
      <c r="AQ141" s="14"/>
      <c r="AR141" s="14"/>
      <c r="AS141" s="15"/>
      <c r="AT141" s="14"/>
      <c r="AU141" s="14" t="s">
        <v>7</v>
      </c>
      <c r="AV141" s="14"/>
      <c r="AW141" s="14"/>
      <c r="AX141" s="14"/>
      <c r="AY141" s="14"/>
      <c r="AZ141" s="14"/>
      <c r="BC141" s="31" t="str">
        <f t="shared" si="50"/>
        <v/>
      </c>
      <c r="BD141" s="31" t="str">
        <f t="shared" si="51"/>
        <v>Y</v>
      </c>
      <c r="BE141" s="31" t="str">
        <f t="shared" si="52"/>
        <v/>
      </c>
      <c r="BF141" s="31" t="str">
        <f t="shared" si="53"/>
        <v/>
      </c>
      <c r="BG141" s="31" t="str">
        <f t="shared" si="54"/>
        <v/>
      </c>
      <c r="BH141" s="31" t="str">
        <f t="shared" si="55"/>
        <v>Y</v>
      </c>
      <c r="BI141" s="31" t="str">
        <f t="shared" si="56"/>
        <v/>
      </c>
      <c r="BJ141" s="30" t="str">
        <f t="shared" si="57"/>
        <v>Y</v>
      </c>
      <c r="BK141" s="31" t="str">
        <f t="shared" si="58"/>
        <v>Y</v>
      </c>
      <c r="BL141" s="30" t="str">
        <f t="shared" si="59"/>
        <v/>
      </c>
      <c r="BM141" s="31" t="str">
        <f t="shared" si="60"/>
        <v/>
      </c>
      <c r="BN141" s="31" t="str">
        <f t="shared" si="61"/>
        <v/>
      </c>
      <c r="BO141" s="31" t="str">
        <f t="shared" si="62"/>
        <v/>
      </c>
      <c r="BP141" s="31" t="str">
        <f t="shared" si="63"/>
        <v>Y</v>
      </c>
      <c r="BQ141" s="31" t="str">
        <f t="shared" si="64"/>
        <v/>
      </c>
      <c r="BR141" s="31" t="str">
        <f t="shared" si="65"/>
        <v>Y</v>
      </c>
      <c r="BS141" s="31" t="str">
        <f t="shared" si="66"/>
        <v/>
      </c>
      <c r="BT141" s="31" t="str">
        <f t="shared" si="67"/>
        <v/>
      </c>
      <c r="BU141" s="30" t="str">
        <f t="shared" si="68"/>
        <v/>
      </c>
      <c r="BV141" s="39" t="str">
        <f t="shared" si="69"/>
        <v>Y</v>
      </c>
      <c r="BW141" s="3" t="s">
        <v>253</v>
      </c>
    </row>
    <row r="142" spans="1:75" ht="43.5" x14ac:dyDescent="0.35">
      <c r="A142" s="11" t="s">
        <v>136</v>
      </c>
      <c r="B142" s="3" t="s">
        <v>62</v>
      </c>
      <c r="C142" s="12"/>
      <c r="D142" s="59"/>
      <c r="E142" s="13"/>
      <c r="F142" s="13"/>
      <c r="G142" s="13"/>
      <c r="H142" s="13"/>
      <c r="I142" s="13"/>
      <c r="J142" s="13"/>
      <c r="K142" s="13"/>
      <c r="L142" s="13"/>
      <c r="N142" s="13"/>
      <c r="Q142" s="13"/>
      <c r="R142" s="13"/>
      <c r="S142" s="13"/>
      <c r="V142" s="13"/>
      <c r="W142" s="13" t="s">
        <v>7</v>
      </c>
      <c r="X142" s="13"/>
      <c r="Y142" s="13"/>
      <c r="Z142" s="13"/>
      <c r="AA142" s="13"/>
      <c r="AB142" s="13"/>
      <c r="AD142" s="13" t="s">
        <v>7</v>
      </c>
      <c r="AE142" s="13"/>
      <c r="AF142" s="13"/>
      <c r="AG142" s="13"/>
      <c r="AH142" s="12"/>
      <c r="AI142" s="13"/>
      <c r="AJ142" s="14"/>
      <c r="AK142" s="13"/>
      <c r="AL142" s="13" t="s">
        <v>7</v>
      </c>
      <c r="AM142" s="15"/>
      <c r="AN142" s="149"/>
      <c r="AO142" s="14"/>
      <c r="AP142" s="14"/>
      <c r="AQ142" s="14" t="s">
        <v>7</v>
      </c>
      <c r="AR142" s="14"/>
      <c r="AS142" s="15"/>
      <c r="AT142" s="14"/>
      <c r="AU142" s="14"/>
      <c r="AV142" s="14"/>
      <c r="AW142" s="14" t="s">
        <v>7</v>
      </c>
      <c r="AX142" s="14"/>
      <c r="AY142" s="14"/>
      <c r="AZ142" s="14"/>
      <c r="BC142" s="31" t="str">
        <f t="shared" si="50"/>
        <v>Y</v>
      </c>
      <c r="BD142" s="31" t="str">
        <f t="shared" si="51"/>
        <v>Y</v>
      </c>
      <c r="BE142" s="31" t="str">
        <f t="shared" si="52"/>
        <v/>
      </c>
      <c r="BF142" s="31" t="str">
        <f t="shared" si="53"/>
        <v/>
      </c>
      <c r="BG142" s="31" t="str">
        <f t="shared" si="54"/>
        <v/>
      </c>
      <c r="BH142" s="31" t="str">
        <f t="shared" si="55"/>
        <v/>
      </c>
      <c r="BI142" s="31" t="str">
        <f t="shared" si="56"/>
        <v/>
      </c>
      <c r="BJ142" s="30" t="str">
        <f t="shared" si="57"/>
        <v>Y</v>
      </c>
      <c r="BK142" s="31" t="str">
        <f t="shared" si="58"/>
        <v/>
      </c>
      <c r="BL142" s="30" t="str">
        <f t="shared" si="59"/>
        <v/>
      </c>
      <c r="BM142" s="31" t="str">
        <f t="shared" si="60"/>
        <v>Y</v>
      </c>
      <c r="BN142" s="31" t="str">
        <f t="shared" si="61"/>
        <v/>
      </c>
      <c r="BO142" s="31" t="str">
        <f t="shared" si="62"/>
        <v/>
      </c>
      <c r="BP142" s="31" t="str">
        <f t="shared" si="63"/>
        <v>Y</v>
      </c>
      <c r="BQ142" s="31" t="str">
        <f t="shared" si="64"/>
        <v/>
      </c>
      <c r="BR142" s="31" t="str">
        <f t="shared" si="65"/>
        <v/>
      </c>
      <c r="BS142" s="31" t="str">
        <f t="shared" si="66"/>
        <v/>
      </c>
      <c r="BT142" s="31" t="str">
        <f t="shared" si="67"/>
        <v/>
      </c>
      <c r="BU142" s="30" t="str">
        <f t="shared" si="68"/>
        <v>Y</v>
      </c>
      <c r="BV142" s="39" t="str">
        <f t="shared" si="69"/>
        <v>Y</v>
      </c>
      <c r="BW142" s="3" t="s">
        <v>254</v>
      </c>
    </row>
    <row r="143" spans="1:75" x14ac:dyDescent="0.35">
      <c r="A143" s="11" t="s">
        <v>137</v>
      </c>
      <c r="B143" s="3" t="s">
        <v>46</v>
      </c>
      <c r="C143" s="12" t="s">
        <v>7</v>
      </c>
      <c r="D143" s="59"/>
      <c r="E143" s="13"/>
      <c r="F143" s="13"/>
      <c r="G143" s="13"/>
      <c r="H143" s="13"/>
      <c r="I143" s="13"/>
      <c r="J143" s="13"/>
      <c r="K143" s="13"/>
      <c r="L143" s="13"/>
      <c r="N143" s="13"/>
      <c r="Q143" s="13"/>
      <c r="R143" s="13"/>
      <c r="S143" s="13"/>
      <c r="V143" s="13"/>
      <c r="W143" s="13"/>
      <c r="X143" s="13"/>
      <c r="Y143" s="13"/>
      <c r="Z143" s="13"/>
      <c r="AA143" s="13"/>
      <c r="AB143" s="13"/>
      <c r="AD143" s="13"/>
      <c r="AE143" s="13"/>
      <c r="AF143" s="13"/>
      <c r="AG143" s="13"/>
      <c r="AH143" s="12"/>
      <c r="AI143" s="13"/>
      <c r="AJ143" s="14"/>
      <c r="AK143" s="13" t="s">
        <v>7</v>
      </c>
      <c r="AL143" s="13"/>
      <c r="AM143" s="15"/>
      <c r="AN143" s="149"/>
      <c r="AO143" s="14"/>
      <c r="AP143" s="14"/>
      <c r="AQ143" s="14" t="s">
        <v>7</v>
      </c>
      <c r="AR143" s="14"/>
      <c r="AS143" s="15"/>
      <c r="AT143" s="14"/>
      <c r="AU143" s="14"/>
      <c r="AV143" s="14"/>
      <c r="AW143" s="14"/>
      <c r="AX143" s="14"/>
      <c r="AY143" s="14"/>
      <c r="AZ143" s="14" t="s">
        <v>7</v>
      </c>
      <c r="BC143" s="31" t="str">
        <f t="shared" si="50"/>
        <v/>
      </c>
      <c r="BD143" s="31" t="str">
        <f t="shared" si="51"/>
        <v/>
      </c>
      <c r="BE143" s="31" t="str">
        <f t="shared" si="52"/>
        <v/>
      </c>
      <c r="BF143" s="31" t="str">
        <f t="shared" si="53"/>
        <v/>
      </c>
      <c r="BG143" s="31" t="str">
        <f t="shared" si="54"/>
        <v>Y</v>
      </c>
      <c r="BH143" s="31" t="str">
        <f t="shared" si="55"/>
        <v/>
      </c>
      <c r="BI143" s="31" t="str">
        <f t="shared" si="56"/>
        <v/>
      </c>
      <c r="BJ143" s="30" t="str">
        <f t="shared" si="57"/>
        <v/>
      </c>
      <c r="BK143" s="31" t="str">
        <f t="shared" si="58"/>
        <v>Y</v>
      </c>
      <c r="BL143" s="30" t="str">
        <f t="shared" si="59"/>
        <v/>
      </c>
      <c r="BM143" s="31" t="str">
        <f t="shared" si="60"/>
        <v/>
      </c>
      <c r="BN143" s="31" t="str">
        <f t="shared" si="61"/>
        <v/>
      </c>
      <c r="BO143" s="31" t="str">
        <f t="shared" si="62"/>
        <v>Y</v>
      </c>
      <c r="BP143" s="31" t="str">
        <f t="shared" si="63"/>
        <v/>
      </c>
      <c r="BQ143" s="31" t="str">
        <f t="shared" si="64"/>
        <v/>
      </c>
      <c r="BR143" s="31" t="str">
        <f t="shared" si="65"/>
        <v/>
      </c>
      <c r="BS143" s="31" t="str">
        <f t="shared" si="66"/>
        <v/>
      </c>
      <c r="BT143" s="31" t="str">
        <f t="shared" si="67"/>
        <v/>
      </c>
      <c r="BU143" s="30" t="str">
        <f t="shared" si="68"/>
        <v>Y</v>
      </c>
      <c r="BV143" s="39" t="str">
        <f t="shared" si="69"/>
        <v/>
      </c>
      <c r="BW143" s="3" t="s">
        <v>235</v>
      </c>
    </row>
    <row r="144" spans="1:75" x14ac:dyDescent="0.35">
      <c r="A144" s="11" t="s">
        <v>138</v>
      </c>
      <c r="B144" s="3" t="s">
        <v>18</v>
      </c>
      <c r="C144" s="12" t="s">
        <v>7</v>
      </c>
      <c r="D144" s="59"/>
      <c r="E144" s="13"/>
      <c r="F144" s="13"/>
      <c r="G144" s="13"/>
      <c r="H144" s="13"/>
      <c r="I144" s="13"/>
      <c r="J144" s="13"/>
      <c r="K144" s="13"/>
      <c r="L144" s="13"/>
      <c r="N144" s="13"/>
      <c r="Q144" s="13"/>
      <c r="R144" s="13"/>
      <c r="S144" s="13"/>
      <c r="V144" s="13"/>
      <c r="W144" s="13"/>
      <c r="X144" s="13"/>
      <c r="Y144" s="13"/>
      <c r="Z144" s="13"/>
      <c r="AA144" s="13"/>
      <c r="AB144" s="13"/>
      <c r="AD144" s="13"/>
      <c r="AE144" s="13"/>
      <c r="AF144" s="13"/>
      <c r="AG144" s="13"/>
      <c r="AH144" s="12"/>
      <c r="AI144" s="13"/>
      <c r="AJ144" s="14"/>
      <c r="AK144" s="13" t="s">
        <v>7</v>
      </c>
      <c r="AL144" s="13"/>
      <c r="AM144" s="15"/>
      <c r="AN144" s="149"/>
      <c r="AO144" s="14"/>
      <c r="AP144" s="14"/>
      <c r="AQ144" s="14" t="s">
        <v>7</v>
      </c>
      <c r="AR144" s="14"/>
      <c r="AS144" s="15"/>
      <c r="AT144" s="14" t="s">
        <v>7</v>
      </c>
      <c r="AU144" s="14"/>
      <c r="AV144" s="14"/>
      <c r="AW144" s="14"/>
      <c r="AX144" s="14"/>
      <c r="AY144" s="14"/>
      <c r="AZ144" s="14"/>
      <c r="BC144" s="31" t="str">
        <f t="shared" si="50"/>
        <v/>
      </c>
      <c r="BD144" s="31" t="str">
        <f t="shared" si="51"/>
        <v/>
      </c>
      <c r="BE144" s="31" t="str">
        <f t="shared" si="52"/>
        <v/>
      </c>
      <c r="BF144" s="31" t="str">
        <f t="shared" si="53"/>
        <v/>
      </c>
      <c r="BG144" s="31" t="str">
        <f t="shared" si="54"/>
        <v>Y</v>
      </c>
      <c r="BH144" s="31" t="str">
        <f t="shared" si="55"/>
        <v/>
      </c>
      <c r="BI144" s="31" t="str">
        <f t="shared" si="56"/>
        <v/>
      </c>
      <c r="BJ144" s="30" t="str">
        <f t="shared" si="57"/>
        <v/>
      </c>
      <c r="BK144" s="31" t="str">
        <f t="shared" si="58"/>
        <v>Y</v>
      </c>
      <c r="BL144" s="30" t="str">
        <f t="shared" si="59"/>
        <v/>
      </c>
      <c r="BM144" s="31" t="str">
        <f t="shared" si="60"/>
        <v/>
      </c>
      <c r="BN144" s="31" t="str">
        <f t="shared" si="61"/>
        <v/>
      </c>
      <c r="BO144" s="31" t="str">
        <f t="shared" si="62"/>
        <v>Y</v>
      </c>
      <c r="BP144" s="31" t="str">
        <f t="shared" si="63"/>
        <v/>
      </c>
      <c r="BQ144" s="31" t="str">
        <f t="shared" si="64"/>
        <v/>
      </c>
      <c r="BR144" s="31" t="str">
        <f t="shared" si="65"/>
        <v/>
      </c>
      <c r="BS144" s="31" t="str">
        <f t="shared" si="66"/>
        <v/>
      </c>
      <c r="BT144" s="31" t="str">
        <f t="shared" si="67"/>
        <v/>
      </c>
      <c r="BU144" s="30" t="str">
        <f t="shared" si="68"/>
        <v>Y</v>
      </c>
      <c r="BV144" s="39" t="str">
        <f t="shared" si="69"/>
        <v/>
      </c>
      <c r="BW144" s="3" t="s">
        <v>235</v>
      </c>
    </row>
    <row r="145" spans="1:75" ht="29" x14ac:dyDescent="0.35">
      <c r="A145" s="11" t="s">
        <v>139</v>
      </c>
      <c r="B145" s="3" t="s">
        <v>28</v>
      </c>
      <c r="C145" s="12"/>
      <c r="D145" s="59"/>
      <c r="E145" s="13"/>
      <c r="F145" s="13"/>
      <c r="G145" s="13"/>
      <c r="H145" s="13"/>
      <c r="I145" s="13"/>
      <c r="J145" s="13"/>
      <c r="K145" s="13"/>
      <c r="L145" s="13"/>
      <c r="N145" s="13"/>
      <c r="P145" s="13" t="s">
        <v>7</v>
      </c>
      <c r="Q145" s="13"/>
      <c r="R145" s="13"/>
      <c r="S145" s="13"/>
      <c r="V145" s="13"/>
      <c r="W145" s="13"/>
      <c r="X145" s="13"/>
      <c r="Y145" s="13"/>
      <c r="Z145" s="13"/>
      <c r="AA145" s="13"/>
      <c r="AB145" s="13"/>
      <c r="AD145" s="13"/>
      <c r="AE145" s="13"/>
      <c r="AF145" s="13"/>
      <c r="AG145" s="13"/>
      <c r="AH145" s="12"/>
      <c r="AI145" s="13" t="s">
        <v>7</v>
      </c>
      <c r="AJ145" s="14" t="s">
        <v>7</v>
      </c>
      <c r="AK145" s="13"/>
      <c r="AL145" s="13"/>
      <c r="AM145" s="15"/>
      <c r="AN145" s="149"/>
      <c r="AO145" s="14"/>
      <c r="AP145" s="14"/>
      <c r="AQ145" s="14" t="s">
        <v>7</v>
      </c>
      <c r="AR145" s="14"/>
      <c r="AS145" s="15"/>
      <c r="AT145" s="14"/>
      <c r="AU145" s="14"/>
      <c r="AV145" s="14"/>
      <c r="AW145" s="14"/>
      <c r="AX145" s="14"/>
      <c r="AY145" s="14"/>
      <c r="AZ145" s="14" t="s">
        <v>7</v>
      </c>
      <c r="BC145" s="31" t="str">
        <f t="shared" si="50"/>
        <v>Y</v>
      </c>
      <c r="BD145" s="31" t="str">
        <f t="shared" si="51"/>
        <v/>
      </c>
      <c r="BE145" s="31" t="str">
        <f t="shared" si="52"/>
        <v/>
      </c>
      <c r="BF145" s="31" t="str">
        <f t="shared" si="53"/>
        <v/>
      </c>
      <c r="BG145" s="31" t="str">
        <f t="shared" si="54"/>
        <v/>
      </c>
      <c r="BH145" s="31" t="str">
        <f t="shared" si="55"/>
        <v/>
      </c>
      <c r="BI145" s="31" t="str">
        <f t="shared" si="56"/>
        <v/>
      </c>
      <c r="BJ145" s="30" t="str">
        <f t="shared" si="57"/>
        <v>Y</v>
      </c>
      <c r="BK145" s="31" t="str">
        <f t="shared" si="58"/>
        <v/>
      </c>
      <c r="BL145" s="30" t="str">
        <f t="shared" si="59"/>
        <v>Y</v>
      </c>
      <c r="BM145" s="31" t="str">
        <f t="shared" si="60"/>
        <v/>
      </c>
      <c r="BN145" s="31" t="str">
        <f t="shared" si="61"/>
        <v/>
      </c>
      <c r="BO145" s="31" t="str">
        <f t="shared" si="62"/>
        <v/>
      </c>
      <c r="BP145" s="31" t="str">
        <f t="shared" si="63"/>
        <v/>
      </c>
      <c r="BQ145" s="31" t="str">
        <f t="shared" si="64"/>
        <v/>
      </c>
      <c r="BR145" s="31" t="str">
        <f t="shared" si="65"/>
        <v/>
      </c>
      <c r="BS145" s="31" t="str">
        <f t="shared" si="66"/>
        <v/>
      </c>
      <c r="BT145" s="31" t="str">
        <f t="shared" si="67"/>
        <v/>
      </c>
      <c r="BU145" s="30" t="str">
        <f t="shared" si="68"/>
        <v>Y</v>
      </c>
      <c r="BV145" s="39" t="str">
        <f t="shared" si="69"/>
        <v/>
      </c>
      <c r="BW145" s="3" t="s">
        <v>288</v>
      </c>
    </row>
    <row r="146" spans="1:75" x14ac:dyDescent="0.35">
      <c r="A146" s="11" t="s">
        <v>140</v>
      </c>
      <c r="B146" s="3" t="s">
        <v>30</v>
      </c>
      <c r="C146" s="12"/>
      <c r="D146" s="59"/>
      <c r="E146" s="13"/>
      <c r="F146" s="13"/>
      <c r="G146" s="13"/>
      <c r="H146" s="13"/>
      <c r="I146" s="13"/>
      <c r="J146" s="13"/>
      <c r="K146" s="13"/>
      <c r="L146" s="13"/>
      <c r="N146" s="13"/>
      <c r="P146" s="13" t="s">
        <v>7</v>
      </c>
      <c r="Q146" s="13"/>
      <c r="R146" s="13"/>
      <c r="S146" s="13"/>
      <c r="V146" s="13"/>
      <c r="W146" s="13"/>
      <c r="X146" s="13"/>
      <c r="Y146" s="13"/>
      <c r="Z146" s="13"/>
      <c r="AA146" s="13"/>
      <c r="AB146" s="13"/>
      <c r="AD146" s="13"/>
      <c r="AE146" s="13"/>
      <c r="AF146" s="13"/>
      <c r="AG146" s="13"/>
      <c r="AH146" s="12"/>
      <c r="AI146" s="13" t="s">
        <v>7</v>
      </c>
      <c r="AJ146" s="14" t="s">
        <v>7</v>
      </c>
      <c r="AK146" s="13"/>
      <c r="AL146" s="13"/>
      <c r="AM146" s="15"/>
      <c r="AN146" s="149"/>
      <c r="AO146" s="14"/>
      <c r="AP146" s="14"/>
      <c r="AQ146" s="14" t="s">
        <v>7</v>
      </c>
      <c r="AR146" s="14"/>
      <c r="AS146" s="15"/>
      <c r="AT146" s="14"/>
      <c r="AU146" s="14"/>
      <c r="AV146" s="14" t="s">
        <v>7</v>
      </c>
      <c r="AW146" s="14"/>
      <c r="AX146" s="14"/>
      <c r="AY146" s="14"/>
      <c r="AZ146" s="14"/>
      <c r="BC146" s="31" t="str">
        <f t="shared" si="50"/>
        <v>Y</v>
      </c>
      <c r="BD146" s="31" t="str">
        <f t="shared" si="51"/>
        <v/>
      </c>
      <c r="BE146" s="31" t="str">
        <f t="shared" si="52"/>
        <v/>
      </c>
      <c r="BF146" s="31" t="str">
        <f t="shared" si="53"/>
        <v/>
      </c>
      <c r="BG146" s="31" t="str">
        <f t="shared" si="54"/>
        <v/>
      </c>
      <c r="BH146" s="31" t="str">
        <f t="shared" si="55"/>
        <v/>
      </c>
      <c r="BI146" s="31" t="str">
        <f t="shared" si="56"/>
        <v/>
      </c>
      <c r="BJ146" s="30" t="str">
        <f t="shared" si="57"/>
        <v>Y</v>
      </c>
      <c r="BK146" s="31" t="str">
        <f t="shared" si="58"/>
        <v/>
      </c>
      <c r="BL146" s="30" t="str">
        <f t="shared" si="59"/>
        <v>Y</v>
      </c>
      <c r="BM146" s="31" t="str">
        <f t="shared" si="60"/>
        <v/>
      </c>
      <c r="BN146" s="31" t="str">
        <f t="shared" si="61"/>
        <v/>
      </c>
      <c r="BO146" s="31" t="str">
        <f t="shared" si="62"/>
        <v/>
      </c>
      <c r="BP146" s="31" t="str">
        <f t="shared" si="63"/>
        <v/>
      </c>
      <c r="BQ146" s="31" t="str">
        <f t="shared" si="64"/>
        <v/>
      </c>
      <c r="BR146" s="31" t="str">
        <f t="shared" si="65"/>
        <v/>
      </c>
      <c r="BS146" s="31" t="str">
        <f t="shared" si="66"/>
        <v/>
      </c>
      <c r="BT146" s="31" t="str">
        <f t="shared" si="67"/>
        <v/>
      </c>
      <c r="BU146" s="30" t="str">
        <f t="shared" si="68"/>
        <v>Y</v>
      </c>
      <c r="BV146" s="39" t="str">
        <f t="shared" si="69"/>
        <v/>
      </c>
      <c r="BW146" s="3" t="s">
        <v>235</v>
      </c>
    </row>
    <row r="147" spans="1:75" ht="29" x14ac:dyDescent="0.35">
      <c r="A147" s="11" t="s">
        <v>141</v>
      </c>
      <c r="B147" s="3" t="s">
        <v>6</v>
      </c>
      <c r="C147" s="12" t="s">
        <v>7</v>
      </c>
      <c r="D147" s="59"/>
      <c r="E147" s="13"/>
      <c r="F147" s="13"/>
      <c r="G147" s="13"/>
      <c r="H147" s="13" t="s">
        <v>7</v>
      </c>
      <c r="I147" s="13"/>
      <c r="J147" s="13"/>
      <c r="K147" s="13"/>
      <c r="L147" s="13" t="s">
        <v>7</v>
      </c>
      <c r="N147" s="13"/>
      <c r="Q147" s="13"/>
      <c r="R147" s="13"/>
      <c r="S147" s="13"/>
      <c r="V147" s="13"/>
      <c r="W147" s="13"/>
      <c r="X147" s="13"/>
      <c r="Y147" s="13"/>
      <c r="Z147" s="13"/>
      <c r="AA147" s="13"/>
      <c r="AB147" s="13"/>
      <c r="AD147" s="13"/>
      <c r="AE147" s="13"/>
      <c r="AF147" s="13"/>
      <c r="AG147" s="13"/>
      <c r="AH147" s="12"/>
      <c r="AI147" s="13"/>
      <c r="AJ147" s="14"/>
      <c r="AK147" s="13" t="s">
        <v>7</v>
      </c>
      <c r="AL147" s="13"/>
      <c r="AM147" s="15"/>
      <c r="AN147" s="149"/>
      <c r="AO147" s="14"/>
      <c r="AP147" s="14"/>
      <c r="AQ147" s="14" t="s">
        <v>7</v>
      </c>
      <c r="AR147" s="14"/>
      <c r="AS147" s="15"/>
      <c r="AT147" s="14"/>
      <c r="AU147" s="14" t="s">
        <v>7</v>
      </c>
      <c r="AV147" s="14"/>
      <c r="AW147" s="14"/>
      <c r="AX147" s="14"/>
      <c r="AY147" s="14"/>
      <c r="AZ147" s="14"/>
      <c r="BC147" s="31" t="str">
        <f t="shared" si="50"/>
        <v/>
      </c>
      <c r="BD147" s="31" t="str">
        <f t="shared" si="51"/>
        <v/>
      </c>
      <c r="BE147" s="31" t="str">
        <f t="shared" si="52"/>
        <v/>
      </c>
      <c r="BF147" s="31" t="str">
        <f t="shared" si="53"/>
        <v/>
      </c>
      <c r="BG147" s="31" t="str">
        <f t="shared" si="54"/>
        <v>Y</v>
      </c>
      <c r="BH147" s="31" t="str">
        <f t="shared" si="55"/>
        <v/>
      </c>
      <c r="BI147" s="31" t="str">
        <f t="shared" si="56"/>
        <v>Y</v>
      </c>
      <c r="BJ147" s="30" t="str">
        <f t="shared" si="57"/>
        <v/>
      </c>
      <c r="BK147" s="31" t="str">
        <f t="shared" si="58"/>
        <v>Y</v>
      </c>
      <c r="BL147" s="30" t="str">
        <f t="shared" si="59"/>
        <v/>
      </c>
      <c r="BM147" s="31" t="str">
        <f t="shared" si="60"/>
        <v/>
      </c>
      <c r="BN147" s="31" t="str">
        <f t="shared" si="61"/>
        <v>Y</v>
      </c>
      <c r="BO147" s="31" t="str">
        <f t="shared" si="62"/>
        <v>Y</v>
      </c>
      <c r="BP147" s="31" t="str">
        <f t="shared" si="63"/>
        <v/>
      </c>
      <c r="BQ147" s="31" t="str">
        <f t="shared" si="64"/>
        <v/>
      </c>
      <c r="BR147" s="31" t="str">
        <f t="shared" si="65"/>
        <v/>
      </c>
      <c r="BS147" s="31" t="str">
        <f t="shared" si="66"/>
        <v>Y</v>
      </c>
      <c r="BT147" s="31" t="str">
        <f t="shared" si="67"/>
        <v/>
      </c>
      <c r="BU147" s="30" t="str">
        <f t="shared" si="68"/>
        <v>Y</v>
      </c>
      <c r="BV147" s="39" t="str">
        <f t="shared" si="69"/>
        <v>Y</v>
      </c>
      <c r="BW147" s="3" t="s">
        <v>255</v>
      </c>
    </row>
    <row r="148" spans="1:75" x14ac:dyDescent="0.35">
      <c r="A148" s="11" t="s">
        <v>142</v>
      </c>
      <c r="B148" s="3" t="s">
        <v>6</v>
      </c>
      <c r="C148" s="12"/>
      <c r="D148" s="59"/>
      <c r="E148" s="13"/>
      <c r="F148" s="13"/>
      <c r="G148" s="13"/>
      <c r="H148" s="13"/>
      <c r="I148" s="13"/>
      <c r="J148" s="13"/>
      <c r="K148" s="13"/>
      <c r="L148" s="13"/>
      <c r="N148" s="13"/>
      <c r="P148" s="13" t="s">
        <v>7</v>
      </c>
      <c r="Q148" s="13"/>
      <c r="R148" s="13"/>
      <c r="S148" s="13"/>
      <c r="V148" s="13"/>
      <c r="W148" s="13"/>
      <c r="X148" s="13"/>
      <c r="Y148" s="13"/>
      <c r="Z148" s="13"/>
      <c r="AA148" s="13"/>
      <c r="AB148" s="13"/>
      <c r="AD148" s="13"/>
      <c r="AE148" s="13"/>
      <c r="AF148" s="13"/>
      <c r="AG148" s="13"/>
      <c r="AH148" s="12"/>
      <c r="AI148" s="13"/>
      <c r="AJ148" s="14" t="s">
        <v>7</v>
      </c>
      <c r="AK148" s="13"/>
      <c r="AL148" s="13"/>
      <c r="AM148" s="15"/>
      <c r="AN148" s="149"/>
      <c r="AO148" s="14"/>
      <c r="AP148" s="14"/>
      <c r="AQ148" s="14" t="s">
        <v>7</v>
      </c>
      <c r="AR148" s="14"/>
      <c r="AS148" s="15"/>
      <c r="AT148" s="14"/>
      <c r="AU148" s="14" t="s">
        <v>7</v>
      </c>
      <c r="AV148" s="14"/>
      <c r="AW148" s="14"/>
      <c r="AX148" s="14"/>
      <c r="AY148" s="14"/>
      <c r="AZ148" s="14"/>
      <c r="BC148" s="31" t="str">
        <f t="shared" si="50"/>
        <v>Y</v>
      </c>
      <c r="BD148" s="31" t="str">
        <f t="shared" si="51"/>
        <v/>
      </c>
      <c r="BE148" s="31" t="str">
        <f t="shared" si="52"/>
        <v/>
      </c>
      <c r="BF148" s="31" t="str">
        <f t="shared" si="53"/>
        <v/>
      </c>
      <c r="BG148" s="31" t="str">
        <f t="shared" si="54"/>
        <v/>
      </c>
      <c r="BH148" s="31" t="str">
        <f t="shared" si="55"/>
        <v/>
      </c>
      <c r="BI148" s="31" t="str">
        <f t="shared" si="56"/>
        <v/>
      </c>
      <c r="BJ148" s="30" t="str">
        <f t="shared" si="57"/>
        <v>Y</v>
      </c>
      <c r="BK148" s="31" t="str">
        <f t="shared" si="58"/>
        <v/>
      </c>
      <c r="BL148" s="30" t="str">
        <f t="shared" si="59"/>
        <v>Y</v>
      </c>
      <c r="BM148" s="31" t="str">
        <f t="shared" si="60"/>
        <v/>
      </c>
      <c r="BN148" s="31" t="str">
        <f t="shared" si="61"/>
        <v/>
      </c>
      <c r="BO148" s="31" t="str">
        <f t="shared" si="62"/>
        <v/>
      </c>
      <c r="BP148" s="31" t="str">
        <f t="shared" si="63"/>
        <v/>
      </c>
      <c r="BQ148" s="31" t="str">
        <f t="shared" si="64"/>
        <v/>
      </c>
      <c r="BR148" s="31" t="str">
        <f t="shared" si="65"/>
        <v/>
      </c>
      <c r="BS148" s="31" t="str">
        <f t="shared" si="66"/>
        <v/>
      </c>
      <c r="BT148" s="31" t="str">
        <f t="shared" si="67"/>
        <v/>
      </c>
      <c r="BU148" s="30" t="str">
        <f t="shared" si="68"/>
        <v>Y</v>
      </c>
      <c r="BV148" s="39" t="str">
        <f t="shared" si="69"/>
        <v/>
      </c>
      <c r="BW148" s="3" t="s">
        <v>235</v>
      </c>
    </row>
    <row r="149" spans="1:75" x14ac:dyDescent="0.35">
      <c r="A149" s="11" t="s">
        <v>143</v>
      </c>
      <c r="B149" s="3" t="s">
        <v>16</v>
      </c>
      <c r="C149" s="12" t="s">
        <v>7</v>
      </c>
      <c r="D149" s="59"/>
      <c r="E149" s="13"/>
      <c r="F149" s="13"/>
      <c r="G149" s="13"/>
      <c r="H149" s="13"/>
      <c r="I149" s="13"/>
      <c r="J149" s="13"/>
      <c r="K149" s="13"/>
      <c r="L149" s="13"/>
      <c r="N149" s="13"/>
      <c r="Q149" s="13"/>
      <c r="R149" s="13"/>
      <c r="S149" s="13"/>
      <c r="V149" s="13"/>
      <c r="W149" s="13"/>
      <c r="X149" s="13"/>
      <c r="Y149" s="13"/>
      <c r="Z149" s="13"/>
      <c r="AA149" s="13"/>
      <c r="AB149" s="13"/>
      <c r="AD149" s="13"/>
      <c r="AE149" s="13"/>
      <c r="AF149" s="13"/>
      <c r="AG149" s="13"/>
      <c r="AH149" s="12"/>
      <c r="AI149" s="13"/>
      <c r="AJ149" s="14"/>
      <c r="AK149" s="13" t="s">
        <v>7</v>
      </c>
      <c r="AL149" s="13"/>
      <c r="AM149" s="15"/>
      <c r="AN149" s="149"/>
      <c r="AO149" s="14"/>
      <c r="AP149" s="14"/>
      <c r="AQ149" s="14" t="s">
        <v>7</v>
      </c>
      <c r="AR149" s="14"/>
      <c r="AS149" s="15"/>
      <c r="AT149" s="14"/>
      <c r="AU149" s="14"/>
      <c r="AV149" s="14" t="s">
        <v>7</v>
      </c>
      <c r="AW149" s="14"/>
      <c r="AX149" s="14"/>
      <c r="AY149" s="14"/>
      <c r="AZ149" s="14"/>
      <c r="BC149" s="31" t="str">
        <f t="shared" si="50"/>
        <v/>
      </c>
      <c r="BD149" s="31" t="str">
        <f t="shared" si="51"/>
        <v/>
      </c>
      <c r="BE149" s="31" t="str">
        <f t="shared" si="52"/>
        <v/>
      </c>
      <c r="BF149" s="31" t="str">
        <f t="shared" si="53"/>
        <v/>
      </c>
      <c r="BG149" s="31" t="str">
        <f t="shared" si="54"/>
        <v>Y</v>
      </c>
      <c r="BH149" s="31" t="str">
        <f t="shared" si="55"/>
        <v/>
      </c>
      <c r="BI149" s="31" t="str">
        <f t="shared" si="56"/>
        <v/>
      </c>
      <c r="BJ149" s="30" t="str">
        <f t="shared" si="57"/>
        <v/>
      </c>
      <c r="BK149" s="31" t="str">
        <f t="shared" si="58"/>
        <v>Y</v>
      </c>
      <c r="BL149" s="30" t="str">
        <f t="shared" si="59"/>
        <v/>
      </c>
      <c r="BM149" s="31" t="str">
        <f t="shared" si="60"/>
        <v/>
      </c>
      <c r="BN149" s="31" t="str">
        <f t="shared" si="61"/>
        <v/>
      </c>
      <c r="BO149" s="31" t="str">
        <f t="shared" si="62"/>
        <v>Y</v>
      </c>
      <c r="BP149" s="31" t="str">
        <f t="shared" si="63"/>
        <v/>
      </c>
      <c r="BQ149" s="31" t="str">
        <f t="shared" si="64"/>
        <v/>
      </c>
      <c r="BR149" s="31" t="str">
        <f t="shared" si="65"/>
        <v/>
      </c>
      <c r="BS149" s="31" t="str">
        <f t="shared" si="66"/>
        <v/>
      </c>
      <c r="BT149" s="31" t="str">
        <f t="shared" si="67"/>
        <v/>
      </c>
      <c r="BU149" s="30" t="str">
        <f t="shared" si="68"/>
        <v>Y</v>
      </c>
      <c r="BV149" s="39" t="str">
        <f t="shared" si="69"/>
        <v/>
      </c>
      <c r="BW149" s="3" t="s">
        <v>235</v>
      </c>
    </row>
    <row r="150" spans="1:75" x14ac:dyDescent="0.35">
      <c r="A150" s="11" t="s">
        <v>144</v>
      </c>
      <c r="B150" s="3" t="s">
        <v>62</v>
      </c>
      <c r="C150" s="12"/>
      <c r="D150" s="59"/>
      <c r="E150" s="13"/>
      <c r="F150" s="13"/>
      <c r="G150" s="13"/>
      <c r="H150" s="13"/>
      <c r="I150" s="13"/>
      <c r="J150" s="13"/>
      <c r="K150" s="13"/>
      <c r="L150" s="13" t="s">
        <v>7</v>
      </c>
      <c r="N150" s="13"/>
      <c r="Q150" s="13"/>
      <c r="R150" s="13"/>
      <c r="S150" s="13"/>
      <c r="V150" s="13"/>
      <c r="W150" s="13"/>
      <c r="X150" s="13"/>
      <c r="Y150" s="13"/>
      <c r="Z150" s="13"/>
      <c r="AA150" s="13"/>
      <c r="AB150" s="13"/>
      <c r="AD150" s="13"/>
      <c r="AE150" s="13"/>
      <c r="AF150" s="13"/>
      <c r="AG150" s="13"/>
      <c r="AH150" s="12"/>
      <c r="AI150" s="13"/>
      <c r="AJ150" s="14"/>
      <c r="AK150" s="13" t="s">
        <v>7</v>
      </c>
      <c r="AL150" s="13"/>
      <c r="AM150" s="15"/>
      <c r="AN150" s="149"/>
      <c r="AO150" s="14"/>
      <c r="AP150" s="14"/>
      <c r="AQ150" s="14" t="s">
        <v>7</v>
      </c>
      <c r="AR150" s="14"/>
      <c r="AS150" s="15"/>
      <c r="AT150" s="14"/>
      <c r="AU150" s="14"/>
      <c r="AV150" s="14"/>
      <c r="AW150" s="14" t="s">
        <v>7</v>
      </c>
      <c r="AX150" s="14"/>
      <c r="AY150" s="14"/>
      <c r="AZ150" s="14"/>
      <c r="BC150" s="31" t="str">
        <f t="shared" si="50"/>
        <v/>
      </c>
      <c r="BD150" s="31" t="str">
        <f t="shared" si="51"/>
        <v/>
      </c>
      <c r="BE150" s="31" t="str">
        <f t="shared" si="52"/>
        <v/>
      </c>
      <c r="BF150" s="31" t="str">
        <f t="shared" si="53"/>
        <v/>
      </c>
      <c r="BG150" s="31" t="str">
        <f t="shared" si="54"/>
        <v>Y</v>
      </c>
      <c r="BH150" s="31" t="str">
        <f t="shared" si="55"/>
        <v/>
      </c>
      <c r="BI150" s="31" t="str">
        <f t="shared" si="56"/>
        <v/>
      </c>
      <c r="BJ150" s="30" t="str">
        <f t="shared" si="57"/>
        <v/>
      </c>
      <c r="BK150" s="31" t="str">
        <f t="shared" si="58"/>
        <v>Y</v>
      </c>
      <c r="BL150" s="30" t="str">
        <f t="shared" si="59"/>
        <v/>
      </c>
      <c r="BM150" s="31" t="str">
        <f t="shared" si="60"/>
        <v/>
      </c>
      <c r="BN150" s="31" t="str">
        <f t="shared" si="61"/>
        <v>Y</v>
      </c>
      <c r="BO150" s="31" t="str">
        <f t="shared" si="62"/>
        <v/>
      </c>
      <c r="BP150" s="31" t="str">
        <f t="shared" si="63"/>
        <v/>
      </c>
      <c r="BQ150" s="31" t="str">
        <f t="shared" si="64"/>
        <v/>
      </c>
      <c r="BR150" s="31" t="str">
        <f t="shared" si="65"/>
        <v/>
      </c>
      <c r="BS150" s="31" t="str">
        <f t="shared" si="66"/>
        <v/>
      </c>
      <c r="BT150" s="31" t="str">
        <f t="shared" si="67"/>
        <v/>
      </c>
      <c r="BU150" s="30" t="str">
        <f t="shared" si="68"/>
        <v>Y</v>
      </c>
      <c r="BV150" s="39" t="str">
        <f t="shared" si="69"/>
        <v/>
      </c>
      <c r="BW150" s="3" t="s">
        <v>239</v>
      </c>
    </row>
    <row r="151" spans="1:75" x14ac:dyDescent="0.35">
      <c r="A151" s="11" t="s">
        <v>145</v>
      </c>
      <c r="B151" s="3" t="s">
        <v>46</v>
      </c>
      <c r="C151" s="12" t="s">
        <v>7</v>
      </c>
      <c r="D151" s="59"/>
      <c r="E151" s="13"/>
      <c r="F151" s="13"/>
      <c r="G151" s="13"/>
      <c r="H151" s="13" t="s">
        <v>7</v>
      </c>
      <c r="I151" s="13"/>
      <c r="J151" s="13"/>
      <c r="K151" s="13"/>
      <c r="L151" s="13" t="s">
        <v>7</v>
      </c>
      <c r="N151" s="13"/>
      <c r="Q151" s="13"/>
      <c r="R151" s="13"/>
      <c r="S151" s="13"/>
      <c r="V151" s="13"/>
      <c r="W151" s="13"/>
      <c r="X151" s="13"/>
      <c r="Y151" s="13"/>
      <c r="Z151" s="13"/>
      <c r="AA151" s="13"/>
      <c r="AB151" s="13"/>
      <c r="AD151" s="13"/>
      <c r="AE151" s="13"/>
      <c r="AF151" s="13"/>
      <c r="AG151" s="13"/>
      <c r="AH151" s="12"/>
      <c r="AI151" s="13"/>
      <c r="AJ151" s="14"/>
      <c r="AK151" s="13" t="s">
        <v>7</v>
      </c>
      <c r="AL151" s="13"/>
      <c r="AM151" s="15"/>
      <c r="AN151" s="149"/>
      <c r="AO151" s="14"/>
      <c r="AP151" s="14"/>
      <c r="AQ151" s="14" t="s">
        <v>7</v>
      </c>
      <c r="AR151" s="14"/>
      <c r="AS151" s="15"/>
      <c r="AT151" s="14"/>
      <c r="AU151" s="14"/>
      <c r="AV151" s="14"/>
      <c r="AW151" s="14"/>
      <c r="AX151" s="14"/>
      <c r="AY151" s="14"/>
      <c r="AZ151" s="14" t="s">
        <v>7</v>
      </c>
      <c r="BC151" s="31" t="str">
        <f t="shared" si="50"/>
        <v/>
      </c>
      <c r="BD151" s="31" t="str">
        <f t="shared" si="51"/>
        <v/>
      </c>
      <c r="BE151" s="31" t="str">
        <f t="shared" si="52"/>
        <v/>
      </c>
      <c r="BF151" s="31" t="str">
        <f t="shared" si="53"/>
        <v/>
      </c>
      <c r="BG151" s="31" t="str">
        <f t="shared" si="54"/>
        <v>Y</v>
      </c>
      <c r="BH151" s="31" t="str">
        <f t="shared" si="55"/>
        <v/>
      </c>
      <c r="BI151" s="31" t="str">
        <f t="shared" si="56"/>
        <v>Y</v>
      </c>
      <c r="BJ151" s="30" t="str">
        <f t="shared" si="57"/>
        <v/>
      </c>
      <c r="BK151" s="31" t="str">
        <f t="shared" si="58"/>
        <v>Y</v>
      </c>
      <c r="BL151" s="30" t="str">
        <f t="shared" si="59"/>
        <v/>
      </c>
      <c r="BM151" s="31" t="str">
        <f t="shared" si="60"/>
        <v/>
      </c>
      <c r="BN151" s="31" t="str">
        <f t="shared" si="61"/>
        <v>Y</v>
      </c>
      <c r="BO151" s="31" t="str">
        <f t="shared" si="62"/>
        <v>Y</v>
      </c>
      <c r="BP151" s="31" t="str">
        <f t="shared" si="63"/>
        <v/>
      </c>
      <c r="BQ151" s="31" t="str">
        <f t="shared" si="64"/>
        <v/>
      </c>
      <c r="BR151" s="31" t="str">
        <f t="shared" si="65"/>
        <v/>
      </c>
      <c r="BS151" s="31" t="str">
        <f t="shared" si="66"/>
        <v>Y</v>
      </c>
      <c r="BT151" s="31" t="str">
        <f t="shared" si="67"/>
        <v/>
      </c>
      <c r="BU151" s="30" t="str">
        <f t="shared" si="68"/>
        <v>Y</v>
      </c>
      <c r="BV151" s="39" t="str">
        <f t="shared" si="69"/>
        <v>Y</v>
      </c>
      <c r="BW151" s="3" t="s">
        <v>239</v>
      </c>
    </row>
    <row r="152" spans="1:75" x14ac:dyDescent="0.35">
      <c r="A152" s="11" t="s">
        <v>146</v>
      </c>
      <c r="B152" s="3" t="s">
        <v>46</v>
      </c>
      <c r="C152" s="12"/>
      <c r="D152" s="59"/>
      <c r="E152" s="13"/>
      <c r="F152" s="13"/>
      <c r="G152" s="13"/>
      <c r="H152" s="13"/>
      <c r="I152" s="13"/>
      <c r="J152" s="13"/>
      <c r="K152" s="13"/>
      <c r="L152" s="13"/>
      <c r="N152" s="13"/>
      <c r="Q152" s="13"/>
      <c r="R152" s="13"/>
      <c r="S152" s="13"/>
      <c r="V152" s="13"/>
      <c r="W152" s="13" t="s">
        <v>7</v>
      </c>
      <c r="X152" s="13"/>
      <c r="Y152" s="13"/>
      <c r="Z152" s="13"/>
      <c r="AA152" s="13"/>
      <c r="AB152" s="13"/>
      <c r="AD152" s="13"/>
      <c r="AE152" s="13"/>
      <c r="AF152" s="13"/>
      <c r="AG152" s="13"/>
      <c r="AH152" s="12"/>
      <c r="AI152" s="13"/>
      <c r="AJ152" s="14"/>
      <c r="AK152" s="13"/>
      <c r="AL152" s="13" t="s">
        <v>7</v>
      </c>
      <c r="AM152" s="15"/>
      <c r="AN152" s="149"/>
      <c r="AO152" s="14"/>
      <c r="AP152" s="14"/>
      <c r="AQ152" s="14" t="s">
        <v>7</v>
      </c>
      <c r="AR152" s="14"/>
      <c r="AS152" s="15"/>
      <c r="AT152" s="14"/>
      <c r="AU152" s="14"/>
      <c r="AV152" s="14"/>
      <c r="AW152" s="14"/>
      <c r="AX152" s="14"/>
      <c r="AY152" s="14"/>
      <c r="AZ152" s="14" t="s">
        <v>7</v>
      </c>
      <c r="BC152" s="31" t="str">
        <f t="shared" si="50"/>
        <v/>
      </c>
      <c r="BD152" s="31" t="str">
        <f t="shared" si="51"/>
        <v>Y</v>
      </c>
      <c r="BE152" s="31" t="str">
        <f t="shared" si="52"/>
        <v/>
      </c>
      <c r="BF152" s="31" t="str">
        <f t="shared" si="53"/>
        <v/>
      </c>
      <c r="BG152" s="31" t="str">
        <f t="shared" si="54"/>
        <v/>
      </c>
      <c r="BH152" s="31" t="str">
        <f t="shared" si="55"/>
        <v/>
      </c>
      <c r="BI152" s="31" t="str">
        <f t="shared" si="56"/>
        <v/>
      </c>
      <c r="BJ152" s="30" t="str">
        <f t="shared" si="57"/>
        <v>Y</v>
      </c>
      <c r="BK152" s="31" t="str">
        <f t="shared" si="58"/>
        <v/>
      </c>
      <c r="BL152" s="30" t="str">
        <f t="shared" si="59"/>
        <v/>
      </c>
      <c r="BM152" s="31" t="str">
        <f t="shared" si="60"/>
        <v/>
      </c>
      <c r="BN152" s="31" t="str">
        <f t="shared" si="61"/>
        <v/>
      </c>
      <c r="BO152" s="31" t="str">
        <f t="shared" si="62"/>
        <v/>
      </c>
      <c r="BP152" s="31" t="str">
        <f t="shared" si="63"/>
        <v>Y</v>
      </c>
      <c r="BQ152" s="31" t="str">
        <f t="shared" si="64"/>
        <v/>
      </c>
      <c r="BR152" s="31" t="str">
        <f t="shared" si="65"/>
        <v/>
      </c>
      <c r="BS152" s="31" t="str">
        <f t="shared" si="66"/>
        <v/>
      </c>
      <c r="BT152" s="31" t="str">
        <f t="shared" si="67"/>
        <v/>
      </c>
      <c r="BU152" s="30" t="str">
        <f t="shared" si="68"/>
        <v/>
      </c>
      <c r="BV152" s="39" t="str">
        <f t="shared" si="69"/>
        <v>Y</v>
      </c>
      <c r="BW152" s="3" t="s">
        <v>239</v>
      </c>
    </row>
    <row r="153" spans="1:75" x14ac:dyDescent="0.35">
      <c r="A153" s="11" t="s">
        <v>147</v>
      </c>
      <c r="B153" s="3" t="s">
        <v>18</v>
      </c>
      <c r="C153" s="12" t="s">
        <v>7</v>
      </c>
      <c r="D153" s="59"/>
      <c r="E153" s="13"/>
      <c r="F153" s="13"/>
      <c r="G153" s="13"/>
      <c r="H153" s="13"/>
      <c r="I153" s="13"/>
      <c r="J153" s="13"/>
      <c r="K153" s="13"/>
      <c r="L153" s="13"/>
      <c r="N153" s="13"/>
      <c r="Q153" s="13"/>
      <c r="R153" s="13"/>
      <c r="S153" s="13"/>
      <c r="V153" s="13"/>
      <c r="W153" s="13"/>
      <c r="X153" s="13"/>
      <c r="Y153" s="13"/>
      <c r="Z153" s="13"/>
      <c r="AA153" s="13"/>
      <c r="AB153" s="13"/>
      <c r="AD153" s="13"/>
      <c r="AE153" s="13"/>
      <c r="AF153" s="13"/>
      <c r="AG153" s="13"/>
      <c r="AH153" s="12"/>
      <c r="AI153" s="13"/>
      <c r="AJ153" s="14"/>
      <c r="AK153" s="13" t="s">
        <v>7</v>
      </c>
      <c r="AL153" s="13"/>
      <c r="AM153" s="15"/>
      <c r="AN153" s="149"/>
      <c r="AO153" s="14"/>
      <c r="AP153" s="14"/>
      <c r="AQ153" s="14" t="s">
        <v>7</v>
      </c>
      <c r="AR153" s="14"/>
      <c r="AS153" s="15"/>
      <c r="AT153" s="14" t="s">
        <v>7</v>
      </c>
      <c r="AU153" s="14"/>
      <c r="AV153" s="14"/>
      <c r="AW153" s="14"/>
      <c r="AX153" s="14"/>
      <c r="AY153" s="14"/>
      <c r="AZ153" s="14"/>
      <c r="BC153" s="31" t="str">
        <f t="shared" si="50"/>
        <v/>
      </c>
      <c r="BD153" s="31" t="str">
        <f t="shared" si="51"/>
        <v/>
      </c>
      <c r="BE153" s="31" t="str">
        <f t="shared" si="52"/>
        <v/>
      </c>
      <c r="BF153" s="31" t="str">
        <f t="shared" si="53"/>
        <v/>
      </c>
      <c r="BG153" s="31" t="str">
        <f t="shared" si="54"/>
        <v>Y</v>
      </c>
      <c r="BH153" s="31" t="str">
        <f t="shared" si="55"/>
        <v/>
      </c>
      <c r="BI153" s="31" t="str">
        <f t="shared" si="56"/>
        <v/>
      </c>
      <c r="BJ153" s="30" t="str">
        <f t="shared" si="57"/>
        <v/>
      </c>
      <c r="BK153" s="31" t="str">
        <f t="shared" si="58"/>
        <v>Y</v>
      </c>
      <c r="BL153" s="30" t="str">
        <f t="shared" si="59"/>
        <v/>
      </c>
      <c r="BM153" s="31" t="str">
        <f t="shared" si="60"/>
        <v/>
      </c>
      <c r="BN153" s="31" t="str">
        <f t="shared" si="61"/>
        <v/>
      </c>
      <c r="BO153" s="31" t="str">
        <f t="shared" si="62"/>
        <v>Y</v>
      </c>
      <c r="BP153" s="31" t="str">
        <f t="shared" si="63"/>
        <v/>
      </c>
      <c r="BQ153" s="31" t="str">
        <f t="shared" si="64"/>
        <v/>
      </c>
      <c r="BR153" s="31" t="str">
        <f t="shared" si="65"/>
        <v/>
      </c>
      <c r="BS153" s="31" t="str">
        <f t="shared" si="66"/>
        <v/>
      </c>
      <c r="BT153" s="31" t="str">
        <f t="shared" si="67"/>
        <v/>
      </c>
      <c r="BU153" s="30" t="str">
        <f t="shared" si="68"/>
        <v>Y</v>
      </c>
      <c r="BV153" s="39" t="str">
        <f t="shared" si="69"/>
        <v/>
      </c>
      <c r="BW153" s="3" t="s">
        <v>235</v>
      </c>
    </row>
    <row r="154" spans="1:75" x14ac:dyDescent="0.35">
      <c r="A154" s="11" t="s">
        <v>148</v>
      </c>
      <c r="B154" s="3" t="s">
        <v>24</v>
      </c>
      <c r="C154" s="12" t="s">
        <v>7</v>
      </c>
      <c r="D154" s="59"/>
      <c r="E154" s="13"/>
      <c r="F154" s="13"/>
      <c r="G154" s="13"/>
      <c r="H154" s="13"/>
      <c r="I154" s="13"/>
      <c r="J154" s="13"/>
      <c r="K154" s="13"/>
      <c r="L154" s="13"/>
      <c r="N154" s="13"/>
      <c r="Q154" s="13"/>
      <c r="R154" s="13"/>
      <c r="S154" s="13"/>
      <c r="V154" s="13"/>
      <c r="W154" s="13" t="s">
        <v>7</v>
      </c>
      <c r="X154" s="13"/>
      <c r="Y154" s="13"/>
      <c r="Z154" s="13"/>
      <c r="AA154" s="13"/>
      <c r="AB154" s="13"/>
      <c r="AD154" s="13"/>
      <c r="AE154" s="13"/>
      <c r="AF154" s="13"/>
      <c r="AG154" s="13"/>
      <c r="AH154" s="12"/>
      <c r="AI154" s="13"/>
      <c r="AJ154" s="14"/>
      <c r="AK154" s="13" t="s">
        <v>7</v>
      </c>
      <c r="AL154" s="13" t="s">
        <v>7</v>
      </c>
      <c r="AM154" s="15"/>
      <c r="AN154" s="149"/>
      <c r="AO154" s="14"/>
      <c r="AP154" s="14"/>
      <c r="AQ154" s="14" t="s">
        <v>7</v>
      </c>
      <c r="AR154" s="14"/>
      <c r="AS154" s="15"/>
      <c r="AT154" s="14"/>
      <c r="AU154" s="14"/>
      <c r="AV154" s="14"/>
      <c r="AW154" s="14"/>
      <c r="AX154" s="14"/>
      <c r="AY154" s="14"/>
      <c r="AZ154" s="14" t="s">
        <v>7</v>
      </c>
      <c r="BC154" s="31" t="str">
        <f t="shared" si="50"/>
        <v/>
      </c>
      <c r="BD154" s="31" t="str">
        <f t="shared" si="51"/>
        <v>Y</v>
      </c>
      <c r="BE154" s="31" t="str">
        <f t="shared" si="52"/>
        <v/>
      </c>
      <c r="BF154" s="31" t="str">
        <f t="shared" si="53"/>
        <v/>
      </c>
      <c r="BG154" s="31" t="str">
        <f t="shared" si="54"/>
        <v>Y</v>
      </c>
      <c r="BH154" s="31" t="str">
        <f t="shared" si="55"/>
        <v/>
      </c>
      <c r="BI154" s="31" t="str">
        <f t="shared" si="56"/>
        <v/>
      </c>
      <c r="BJ154" s="30" t="str">
        <f t="shared" si="57"/>
        <v>Y</v>
      </c>
      <c r="BK154" s="31" t="str">
        <f t="shared" si="58"/>
        <v>Y</v>
      </c>
      <c r="BL154" s="30" t="str">
        <f t="shared" si="59"/>
        <v/>
      </c>
      <c r="BM154" s="31" t="str">
        <f t="shared" si="60"/>
        <v/>
      </c>
      <c r="BN154" s="31" t="str">
        <f t="shared" si="61"/>
        <v/>
      </c>
      <c r="BO154" s="31" t="str">
        <f t="shared" si="62"/>
        <v>Y</v>
      </c>
      <c r="BP154" s="31" t="str">
        <f t="shared" si="63"/>
        <v>Y</v>
      </c>
      <c r="BQ154" s="31" t="str">
        <f t="shared" si="64"/>
        <v/>
      </c>
      <c r="BR154" s="31" t="str">
        <f t="shared" si="65"/>
        <v/>
      </c>
      <c r="BS154" s="31" t="str">
        <f t="shared" si="66"/>
        <v/>
      </c>
      <c r="BT154" s="31" t="str">
        <f t="shared" si="67"/>
        <v/>
      </c>
      <c r="BU154" s="30" t="str">
        <f t="shared" si="68"/>
        <v>Y</v>
      </c>
      <c r="BV154" s="39" t="str">
        <f t="shared" si="69"/>
        <v>Y</v>
      </c>
      <c r="BW154" s="3" t="s">
        <v>282</v>
      </c>
    </row>
    <row r="155" spans="1:75" x14ac:dyDescent="0.35">
      <c r="A155" s="11" t="s">
        <v>149</v>
      </c>
      <c r="B155" s="3" t="s">
        <v>9</v>
      </c>
      <c r="C155" s="12" t="s">
        <v>7</v>
      </c>
      <c r="D155" s="59"/>
      <c r="E155" s="13"/>
      <c r="F155" s="13"/>
      <c r="G155" s="13"/>
      <c r="H155" s="13"/>
      <c r="I155" s="13"/>
      <c r="J155" s="13"/>
      <c r="K155" s="13"/>
      <c r="L155" s="13"/>
      <c r="N155" s="13"/>
      <c r="Q155" s="13"/>
      <c r="R155" s="13"/>
      <c r="S155" s="13"/>
      <c r="V155" s="13"/>
      <c r="W155" s="13"/>
      <c r="X155" s="13"/>
      <c r="Y155" s="13"/>
      <c r="Z155" s="13"/>
      <c r="AA155" s="13"/>
      <c r="AB155" s="13"/>
      <c r="AD155" s="13"/>
      <c r="AE155" s="13"/>
      <c r="AF155" s="13"/>
      <c r="AG155" s="13"/>
      <c r="AH155" s="12"/>
      <c r="AI155" s="13"/>
      <c r="AJ155" s="14"/>
      <c r="AK155" s="13" t="s">
        <v>7</v>
      </c>
      <c r="AL155" s="13"/>
      <c r="AM155" s="15"/>
      <c r="AN155" s="149"/>
      <c r="AO155" s="14"/>
      <c r="AP155" s="14"/>
      <c r="AQ155" s="14" t="s">
        <v>7</v>
      </c>
      <c r="AR155" s="14"/>
      <c r="AS155" s="15"/>
      <c r="AT155" s="14" t="s">
        <v>7</v>
      </c>
      <c r="AU155" s="14"/>
      <c r="AV155" s="14"/>
      <c r="AW155" s="14"/>
      <c r="AX155" s="14"/>
      <c r="AY155" s="14"/>
      <c r="AZ155" s="14"/>
      <c r="BC155" s="31" t="str">
        <f t="shared" si="50"/>
        <v/>
      </c>
      <c r="BD155" s="31" t="str">
        <f t="shared" si="51"/>
        <v/>
      </c>
      <c r="BE155" s="31" t="str">
        <f t="shared" si="52"/>
        <v/>
      </c>
      <c r="BF155" s="31" t="str">
        <f t="shared" si="53"/>
        <v/>
      </c>
      <c r="BG155" s="31" t="str">
        <f t="shared" si="54"/>
        <v>Y</v>
      </c>
      <c r="BH155" s="31" t="str">
        <f t="shared" si="55"/>
        <v/>
      </c>
      <c r="BI155" s="31" t="str">
        <f t="shared" si="56"/>
        <v/>
      </c>
      <c r="BJ155" s="30" t="str">
        <f t="shared" si="57"/>
        <v/>
      </c>
      <c r="BK155" s="31" t="str">
        <f t="shared" si="58"/>
        <v>Y</v>
      </c>
      <c r="BL155" s="30" t="str">
        <f t="shared" si="59"/>
        <v/>
      </c>
      <c r="BM155" s="31" t="str">
        <f t="shared" si="60"/>
        <v/>
      </c>
      <c r="BN155" s="31" t="str">
        <f t="shared" si="61"/>
        <v/>
      </c>
      <c r="BO155" s="31" t="str">
        <f t="shared" si="62"/>
        <v>Y</v>
      </c>
      <c r="BP155" s="31" t="str">
        <f t="shared" si="63"/>
        <v/>
      </c>
      <c r="BQ155" s="31" t="str">
        <f t="shared" si="64"/>
        <v/>
      </c>
      <c r="BR155" s="31" t="str">
        <f t="shared" si="65"/>
        <v/>
      </c>
      <c r="BS155" s="31" t="str">
        <f t="shared" si="66"/>
        <v/>
      </c>
      <c r="BT155" s="31" t="str">
        <f t="shared" si="67"/>
        <v/>
      </c>
      <c r="BU155" s="30" t="str">
        <f t="shared" si="68"/>
        <v>Y</v>
      </c>
      <c r="BV155" s="39" t="str">
        <f t="shared" si="69"/>
        <v/>
      </c>
      <c r="BW155" s="3" t="s">
        <v>239</v>
      </c>
    </row>
    <row r="156" spans="1:75" x14ac:dyDescent="0.35">
      <c r="A156" s="11" t="s">
        <v>150</v>
      </c>
      <c r="B156" s="3" t="s">
        <v>12</v>
      </c>
      <c r="C156" s="12" t="s">
        <v>7</v>
      </c>
      <c r="D156" s="59"/>
      <c r="E156" s="13"/>
      <c r="F156" s="13"/>
      <c r="G156" s="13" t="s">
        <v>7</v>
      </c>
      <c r="H156" s="13" t="s">
        <v>7</v>
      </c>
      <c r="I156" s="13"/>
      <c r="J156" s="13"/>
      <c r="K156" s="13"/>
      <c r="L156" s="13"/>
      <c r="M156" s="13" t="s">
        <v>7</v>
      </c>
      <c r="N156" s="13"/>
      <c r="O156" s="13" t="s">
        <v>7</v>
      </c>
      <c r="P156" s="13" t="s">
        <v>7</v>
      </c>
      <c r="Q156" s="13"/>
      <c r="R156" s="13"/>
      <c r="S156" s="13"/>
      <c r="U156" s="28" t="s">
        <v>7</v>
      </c>
      <c r="V156" s="13"/>
      <c r="W156" s="13" t="s">
        <v>7</v>
      </c>
      <c r="X156" s="13"/>
      <c r="Y156" s="13"/>
      <c r="Z156" s="13" t="s">
        <v>7</v>
      </c>
      <c r="AA156" s="13"/>
      <c r="AB156" s="13" t="s">
        <v>7</v>
      </c>
      <c r="AD156" s="13"/>
      <c r="AE156" s="13"/>
      <c r="AF156" s="13"/>
      <c r="AG156" s="13"/>
      <c r="AH156" s="12"/>
      <c r="AI156" s="13"/>
      <c r="AJ156" s="14"/>
      <c r="AK156" s="13" t="s">
        <v>7</v>
      </c>
      <c r="AL156" s="13" t="s">
        <v>7</v>
      </c>
      <c r="AM156" s="15"/>
      <c r="AN156" s="149"/>
      <c r="AO156" s="14"/>
      <c r="AP156" s="14"/>
      <c r="AQ156" s="14"/>
      <c r="AR156" s="14" t="s">
        <v>7</v>
      </c>
      <c r="AS156" s="15" t="s">
        <v>7</v>
      </c>
      <c r="AT156" s="14"/>
      <c r="AU156" s="14"/>
      <c r="AV156" s="14"/>
      <c r="AW156" s="14"/>
      <c r="AX156" s="14"/>
      <c r="AY156" s="14"/>
      <c r="AZ156" s="14"/>
      <c r="BC156" s="31" t="str">
        <f t="shared" si="50"/>
        <v>Y</v>
      </c>
      <c r="BD156" s="31" t="str">
        <f t="shared" si="51"/>
        <v>Y</v>
      </c>
      <c r="BE156" s="31" t="str">
        <f t="shared" si="52"/>
        <v/>
      </c>
      <c r="BF156" s="31" t="str">
        <f t="shared" si="53"/>
        <v/>
      </c>
      <c r="BG156" s="31" t="str">
        <f t="shared" si="54"/>
        <v>Y</v>
      </c>
      <c r="BH156" s="31" t="str">
        <f t="shared" si="55"/>
        <v>Y</v>
      </c>
      <c r="BI156" s="31" t="str">
        <f t="shared" si="56"/>
        <v>Y</v>
      </c>
      <c r="BJ156" s="30" t="str">
        <f t="shared" si="57"/>
        <v>Y</v>
      </c>
      <c r="BK156" s="31" t="str">
        <f t="shared" si="58"/>
        <v>Y</v>
      </c>
      <c r="BL156" s="30" t="str">
        <f t="shared" si="59"/>
        <v>Y</v>
      </c>
      <c r="BM156" s="31" t="str">
        <f t="shared" si="60"/>
        <v/>
      </c>
      <c r="BN156" s="31" t="str">
        <f t="shared" si="61"/>
        <v>Y</v>
      </c>
      <c r="BO156" s="31" t="str">
        <f t="shared" si="62"/>
        <v>Y</v>
      </c>
      <c r="BP156" s="31" t="str">
        <f t="shared" si="63"/>
        <v>Y</v>
      </c>
      <c r="BQ156" s="31" t="str">
        <f t="shared" si="64"/>
        <v>Y</v>
      </c>
      <c r="BR156" s="31" t="str">
        <f t="shared" si="65"/>
        <v>Y</v>
      </c>
      <c r="BS156" s="31" t="str">
        <f t="shared" si="66"/>
        <v>Y</v>
      </c>
      <c r="BT156" s="31" t="str">
        <f t="shared" si="67"/>
        <v/>
      </c>
      <c r="BU156" s="30" t="str">
        <f t="shared" si="68"/>
        <v>Y</v>
      </c>
      <c r="BV156" s="39" t="str">
        <f t="shared" si="69"/>
        <v>Y</v>
      </c>
      <c r="BW156" s="3" t="s">
        <v>313</v>
      </c>
    </row>
    <row r="157" spans="1:75" ht="29" x14ac:dyDescent="0.35">
      <c r="A157" s="11" t="s">
        <v>151</v>
      </c>
      <c r="B157" s="3" t="s">
        <v>46</v>
      </c>
      <c r="C157" s="12" t="s">
        <v>7</v>
      </c>
      <c r="D157" s="59"/>
      <c r="E157" s="13"/>
      <c r="F157" s="13"/>
      <c r="G157" s="13"/>
      <c r="H157" s="13"/>
      <c r="I157" s="13"/>
      <c r="J157" s="13"/>
      <c r="K157" s="13"/>
      <c r="L157" s="13"/>
      <c r="N157" s="13"/>
      <c r="Q157" s="13"/>
      <c r="R157" s="13"/>
      <c r="S157" s="13"/>
      <c r="V157" s="13"/>
      <c r="W157" s="13"/>
      <c r="X157" s="13"/>
      <c r="Y157" s="13"/>
      <c r="Z157" s="13"/>
      <c r="AA157" s="13"/>
      <c r="AB157" s="13"/>
      <c r="AD157" s="13"/>
      <c r="AE157" s="13"/>
      <c r="AF157" s="13"/>
      <c r="AG157" s="13"/>
      <c r="AH157" s="12"/>
      <c r="AI157" s="13"/>
      <c r="AJ157" s="14"/>
      <c r="AK157" s="13" t="s">
        <v>7</v>
      </c>
      <c r="AL157" s="13"/>
      <c r="AM157" s="15"/>
      <c r="AN157" s="149"/>
      <c r="AO157" s="14"/>
      <c r="AP157" s="14"/>
      <c r="AQ157" s="14" t="s">
        <v>7</v>
      </c>
      <c r="AR157" s="14"/>
      <c r="AS157" s="15"/>
      <c r="AT157" s="14"/>
      <c r="AU157" s="14"/>
      <c r="AV157" s="14"/>
      <c r="AW157" s="14"/>
      <c r="AX157" s="14"/>
      <c r="AY157" s="14"/>
      <c r="AZ157" s="14" t="s">
        <v>7</v>
      </c>
      <c r="BC157" s="31" t="str">
        <f t="shared" si="50"/>
        <v/>
      </c>
      <c r="BD157" s="31" t="str">
        <f t="shared" si="51"/>
        <v/>
      </c>
      <c r="BE157" s="31" t="str">
        <f t="shared" si="52"/>
        <v/>
      </c>
      <c r="BF157" s="31" t="str">
        <f t="shared" si="53"/>
        <v/>
      </c>
      <c r="BG157" s="31" t="str">
        <f t="shared" si="54"/>
        <v>Y</v>
      </c>
      <c r="BH157" s="31" t="str">
        <f t="shared" si="55"/>
        <v/>
      </c>
      <c r="BI157" s="31" t="str">
        <f t="shared" si="56"/>
        <v/>
      </c>
      <c r="BJ157" s="30" t="str">
        <f t="shared" si="57"/>
        <v/>
      </c>
      <c r="BK157" s="31" t="str">
        <f t="shared" si="58"/>
        <v>Y</v>
      </c>
      <c r="BL157" s="30" t="str">
        <f t="shared" si="59"/>
        <v/>
      </c>
      <c r="BM157" s="31" t="str">
        <f t="shared" si="60"/>
        <v/>
      </c>
      <c r="BN157" s="31" t="str">
        <f t="shared" si="61"/>
        <v/>
      </c>
      <c r="BO157" s="31" t="str">
        <f t="shared" si="62"/>
        <v>Y</v>
      </c>
      <c r="BP157" s="31" t="str">
        <f t="shared" si="63"/>
        <v/>
      </c>
      <c r="BQ157" s="31" t="str">
        <f t="shared" si="64"/>
        <v/>
      </c>
      <c r="BR157" s="31" t="str">
        <f t="shared" si="65"/>
        <v/>
      </c>
      <c r="BS157" s="31" t="str">
        <f t="shared" si="66"/>
        <v/>
      </c>
      <c r="BT157" s="31" t="str">
        <f t="shared" si="67"/>
        <v/>
      </c>
      <c r="BU157" s="30" t="str">
        <f t="shared" si="68"/>
        <v>Y</v>
      </c>
      <c r="BV157" s="39" t="str">
        <f t="shared" si="69"/>
        <v/>
      </c>
      <c r="BW157" s="3" t="s">
        <v>256</v>
      </c>
    </row>
    <row r="158" spans="1:75" x14ac:dyDescent="0.35">
      <c r="A158" s="11" t="s">
        <v>152</v>
      </c>
      <c r="B158" s="3" t="s">
        <v>30</v>
      </c>
      <c r="C158" s="12"/>
      <c r="D158" s="59"/>
      <c r="E158" s="13"/>
      <c r="F158" s="13"/>
      <c r="G158" s="13"/>
      <c r="H158" s="13"/>
      <c r="I158" s="13"/>
      <c r="J158" s="13"/>
      <c r="K158" s="13"/>
      <c r="L158" s="13"/>
      <c r="N158" s="13"/>
      <c r="P158" s="13" t="s">
        <v>7</v>
      </c>
      <c r="Q158" s="13"/>
      <c r="R158" s="13"/>
      <c r="S158" s="13"/>
      <c r="V158" s="13"/>
      <c r="W158" s="13"/>
      <c r="X158" s="13"/>
      <c r="Y158" s="13"/>
      <c r="Z158" s="13"/>
      <c r="AA158" s="13"/>
      <c r="AB158" s="13"/>
      <c r="AD158" s="13"/>
      <c r="AE158" s="13"/>
      <c r="AF158" s="13"/>
      <c r="AG158" s="13"/>
      <c r="AH158" s="12"/>
      <c r="AI158" s="13" t="s">
        <v>7</v>
      </c>
      <c r="AJ158" s="14" t="s">
        <v>7</v>
      </c>
      <c r="AK158" s="13"/>
      <c r="AL158" s="13"/>
      <c r="AM158" s="15"/>
      <c r="AN158" s="149"/>
      <c r="AO158" s="14"/>
      <c r="AP158" s="14"/>
      <c r="AQ158" s="14" t="s">
        <v>7</v>
      </c>
      <c r="AR158" s="14"/>
      <c r="AS158" s="15"/>
      <c r="AT158" s="14"/>
      <c r="AU158" s="14"/>
      <c r="AV158" s="14" t="s">
        <v>7</v>
      </c>
      <c r="AW158" s="14"/>
      <c r="AX158" s="14"/>
      <c r="AY158" s="14"/>
      <c r="AZ158" s="14"/>
      <c r="BC158" s="31" t="str">
        <f t="shared" si="50"/>
        <v>Y</v>
      </c>
      <c r="BD158" s="31" t="str">
        <f t="shared" si="51"/>
        <v/>
      </c>
      <c r="BE158" s="31" t="str">
        <f t="shared" si="52"/>
        <v/>
      </c>
      <c r="BF158" s="31" t="str">
        <f t="shared" si="53"/>
        <v/>
      </c>
      <c r="BG158" s="31" t="str">
        <f t="shared" si="54"/>
        <v/>
      </c>
      <c r="BH158" s="31" t="str">
        <f t="shared" si="55"/>
        <v/>
      </c>
      <c r="BI158" s="31" t="str">
        <f t="shared" si="56"/>
        <v/>
      </c>
      <c r="BJ158" s="30" t="str">
        <f t="shared" si="57"/>
        <v>Y</v>
      </c>
      <c r="BK158" s="31" t="str">
        <f t="shared" si="58"/>
        <v/>
      </c>
      <c r="BL158" s="30" t="str">
        <f t="shared" si="59"/>
        <v>Y</v>
      </c>
      <c r="BM158" s="31" t="str">
        <f t="shared" si="60"/>
        <v/>
      </c>
      <c r="BN158" s="31" t="str">
        <f t="shared" si="61"/>
        <v/>
      </c>
      <c r="BO158" s="31" t="str">
        <f t="shared" si="62"/>
        <v/>
      </c>
      <c r="BP158" s="31" t="str">
        <f t="shared" si="63"/>
        <v/>
      </c>
      <c r="BQ158" s="31" t="str">
        <f t="shared" si="64"/>
        <v/>
      </c>
      <c r="BR158" s="31" t="str">
        <f t="shared" si="65"/>
        <v/>
      </c>
      <c r="BS158" s="31" t="str">
        <f t="shared" si="66"/>
        <v/>
      </c>
      <c r="BT158" s="31" t="str">
        <f t="shared" si="67"/>
        <v/>
      </c>
      <c r="BU158" s="30" t="str">
        <f t="shared" si="68"/>
        <v>Y</v>
      </c>
      <c r="BV158" s="39" t="str">
        <f t="shared" si="69"/>
        <v/>
      </c>
      <c r="BW158" s="3" t="s">
        <v>182</v>
      </c>
    </row>
    <row r="159" spans="1:75" x14ac:dyDescent="0.35">
      <c r="A159" s="11" t="s">
        <v>153</v>
      </c>
      <c r="B159" s="3" t="s">
        <v>9</v>
      </c>
      <c r="C159" s="12"/>
      <c r="D159" s="59"/>
      <c r="E159" s="13"/>
      <c r="F159" s="13"/>
      <c r="G159" s="13"/>
      <c r="H159" s="13"/>
      <c r="I159" s="13"/>
      <c r="J159" s="13"/>
      <c r="K159" s="13"/>
      <c r="L159" s="13"/>
      <c r="M159" s="13" t="s">
        <v>7</v>
      </c>
      <c r="N159" s="13"/>
      <c r="Q159" s="13"/>
      <c r="R159" s="13"/>
      <c r="S159" s="13"/>
      <c r="V159" s="13"/>
      <c r="W159" s="13"/>
      <c r="X159" s="13"/>
      <c r="Y159" s="13"/>
      <c r="Z159" s="13"/>
      <c r="AA159" s="13"/>
      <c r="AB159" s="13"/>
      <c r="AD159" s="13"/>
      <c r="AE159" s="13"/>
      <c r="AF159" s="13"/>
      <c r="AG159" s="13"/>
      <c r="AH159" s="12"/>
      <c r="AI159" s="13"/>
      <c r="AJ159" s="14"/>
      <c r="AK159" s="13" t="s">
        <v>7</v>
      </c>
      <c r="AL159" s="13"/>
      <c r="AM159" s="15"/>
      <c r="AN159" s="149"/>
      <c r="AO159" s="14"/>
      <c r="AP159" s="14"/>
      <c r="AQ159" s="14" t="s">
        <v>7</v>
      </c>
      <c r="AR159" s="14"/>
      <c r="AS159" s="15"/>
      <c r="AT159" s="14" t="s">
        <v>7</v>
      </c>
      <c r="AU159" s="14"/>
      <c r="AV159" s="14"/>
      <c r="AW159" s="14"/>
      <c r="AX159" s="14"/>
      <c r="AY159" s="14"/>
      <c r="AZ159" s="14"/>
      <c r="BC159" s="31" t="str">
        <f t="shared" si="50"/>
        <v/>
      </c>
      <c r="BD159" s="31" t="str">
        <f t="shared" si="51"/>
        <v/>
      </c>
      <c r="BE159" s="31" t="str">
        <f t="shared" si="52"/>
        <v/>
      </c>
      <c r="BF159" s="31" t="str">
        <f t="shared" si="53"/>
        <v/>
      </c>
      <c r="BG159" s="31" t="str">
        <f t="shared" si="54"/>
        <v/>
      </c>
      <c r="BH159" s="31" t="str">
        <f t="shared" si="55"/>
        <v>Y</v>
      </c>
      <c r="BI159" s="31" t="str">
        <f t="shared" si="56"/>
        <v/>
      </c>
      <c r="BJ159" s="30" t="str">
        <f t="shared" si="57"/>
        <v/>
      </c>
      <c r="BK159" s="31" t="str">
        <f t="shared" si="58"/>
        <v>Y</v>
      </c>
      <c r="BL159" s="30" t="str">
        <f t="shared" si="59"/>
        <v/>
      </c>
      <c r="BM159" s="31" t="str">
        <f t="shared" si="60"/>
        <v/>
      </c>
      <c r="BN159" s="31" t="str">
        <f t="shared" si="61"/>
        <v/>
      </c>
      <c r="BO159" s="31" t="str">
        <f t="shared" si="62"/>
        <v/>
      </c>
      <c r="BP159" s="31" t="str">
        <f t="shared" si="63"/>
        <v/>
      </c>
      <c r="BQ159" s="31" t="str">
        <f t="shared" si="64"/>
        <v/>
      </c>
      <c r="BR159" s="31" t="str">
        <f t="shared" si="65"/>
        <v>Y</v>
      </c>
      <c r="BS159" s="31" t="str">
        <f t="shared" si="66"/>
        <v/>
      </c>
      <c r="BT159" s="31" t="str">
        <f t="shared" si="67"/>
        <v/>
      </c>
      <c r="BU159" s="30" t="str">
        <f t="shared" si="68"/>
        <v/>
      </c>
      <c r="BV159" s="39" t="str">
        <f t="shared" si="69"/>
        <v>Y</v>
      </c>
      <c r="BW159" s="3" t="s">
        <v>239</v>
      </c>
    </row>
    <row r="160" spans="1:75" x14ac:dyDescent="0.35">
      <c r="A160" s="11" t="s">
        <v>154</v>
      </c>
      <c r="B160" s="3" t="s">
        <v>14</v>
      </c>
      <c r="C160" s="12"/>
      <c r="D160" s="59"/>
      <c r="E160" s="13"/>
      <c r="F160" s="13"/>
      <c r="G160" s="13"/>
      <c r="H160" s="13"/>
      <c r="I160" s="13"/>
      <c r="J160" s="13"/>
      <c r="K160" s="13"/>
      <c r="L160" s="13"/>
      <c r="N160" s="13"/>
      <c r="Q160" s="13" t="s">
        <v>7</v>
      </c>
      <c r="R160" s="13"/>
      <c r="S160" s="13"/>
      <c r="U160" s="28" t="s">
        <v>7</v>
      </c>
      <c r="V160" s="13"/>
      <c r="W160" s="13"/>
      <c r="X160" s="13"/>
      <c r="Y160" s="13"/>
      <c r="Z160" s="13"/>
      <c r="AA160" s="13"/>
      <c r="AB160" s="13"/>
      <c r="AD160" s="13"/>
      <c r="AE160" s="13"/>
      <c r="AF160" s="13"/>
      <c r="AG160" s="13"/>
      <c r="AH160" s="12"/>
      <c r="AI160" s="13"/>
      <c r="AJ160" s="14"/>
      <c r="AK160" s="13"/>
      <c r="AL160" s="13" t="s">
        <v>7</v>
      </c>
      <c r="AM160" s="15"/>
      <c r="AN160" s="149"/>
      <c r="AO160" s="14"/>
      <c r="AP160" s="14"/>
      <c r="AQ160" s="14" t="s">
        <v>7</v>
      </c>
      <c r="AR160" s="14"/>
      <c r="AS160" s="15"/>
      <c r="AT160" s="14"/>
      <c r="AU160" s="14"/>
      <c r="AV160" s="14"/>
      <c r="AW160" s="14"/>
      <c r="AX160" s="14"/>
      <c r="AY160" s="14" t="s">
        <v>7</v>
      </c>
      <c r="AZ160" s="14"/>
      <c r="BC160" s="31" t="str">
        <f t="shared" si="50"/>
        <v/>
      </c>
      <c r="BD160" s="31" t="str">
        <f t="shared" si="51"/>
        <v/>
      </c>
      <c r="BE160" s="31" t="str">
        <f t="shared" si="52"/>
        <v/>
      </c>
      <c r="BF160" s="31" t="str">
        <f t="shared" si="53"/>
        <v/>
      </c>
      <c r="BG160" s="31" t="str">
        <f t="shared" si="54"/>
        <v/>
      </c>
      <c r="BH160" s="31" t="str">
        <f t="shared" si="55"/>
        <v>Y</v>
      </c>
      <c r="BI160" s="31" t="str">
        <f t="shared" si="56"/>
        <v/>
      </c>
      <c r="BJ160" s="30" t="str">
        <f t="shared" si="57"/>
        <v/>
      </c>
      <c r="BK160" s="31" t="str">
        <f t="shared" si="58"/>
        <v>Y</v>
      </c>
      <c r="BL160" s="30" t="str">
        <f t="shared" si="59"/>
        <v/>
      </c>
      <c r="BM160" s="31" t="str">
        <f t="shared" si="60"/>
        <v/>
      </c>
      <c r="BN160" s="31" t="str">
        <f t="shared" si="61"/>
        <v/>
      </c>
      <c r="BO160" s="31" t="str">
        <f t="shared" si="62"/>
        <v/>
      </c>
      <c r="BP160" s="31" t="str">
        <f t="shared" si="63"/>
        <v/>
      </c>
      <c r="BQ160" s="31" t="str">
        <f t="shared" si="64"/>
        <v>Y</v>
      </c>
      <c r="BR160" s="31" t="str">
        <f t="shared" si="65"/>
        <v/>
      </c>
      <c r="BS160" s="31" t="str">
        <f t="shared" si="66"/>
        <v>Y</v>
      </c>
      <c r="BT160" s="31" t="str">
        <f t="shared" si="67"/>
        <v/>
      </c>
      <c r="BU160" s="30" t="str">
        <f t="shared" si="68"/>
        <v/>
      </c>
      <c r="BV160" s="39" t="str">
        <f t="shared" si="69"/>
        <v>Y</v>
      </c>
      <c r="BW160" s="3" t="s">
        <v>212</v>
      </c>
    </row>
    <row r="161" spans="1:75" x14ac:dyDescent="0.35">
      <c r="A161" s="11" t="s">
        <v>155</v>
      </c>
      <c r="B161" s="3" t="s">
        <v>12</v>
      </c>
      <c r="C161" s="12"/>
      <c r="D161" s="59"/>
      <c r="E161" s="13"/>
      <c r="F161" s="13"/>
      <c r="G161" s="13"/>
      <c r="H161" s="13"/>
      <c r="I161" s="13"/>
      <c r="J161" s="13"/>
      <c r="K161" s="13"/>
      <c r="L161" s="13"/>
      <c r="N161" s="13"/>
      <c r="Q161" s="13"/>
      <c r="R161" s="13"/>
      <c r="S161" s="13" t="s">
        <v>7</v>
      </c>
      <c r="V161" s="13"/>
      <c r="W161" s="13"/>
      <c r="X161" s="13"/>
      <c r="Y161" s="13"/>
      <c r="Z161" s="13"/>
      <c r="AA161" s="13"/>
      <c r="AB161" s="13"/>
      <c r="AD161" s="13"/>
      <c r="AE161" s="13"/>
      <c r="AF161" s="13"/>
      <c r="AG161" s="13"/>
      <c r="AH161" s="12" t="s">
        <v>7</v>
      </c>
      <c r="AI161" s="13"/>
      <c r="AJ161" s="14"/>
      <c r="AK161" s="13"/>
      <c r="AL161" s="13"/>
      <c r="AM161" s="15"/>
      <c r="AN161" s="149"/>
      <c r="AO161" s="14"/>
      <c r="AP161" s="14"/>
      <c r="AQ161" s="14"/>
      <c r="AR161" s="14" t="s">
        <v>7</v>
      </c>
      <c r="AS161" s="15" t="s">
        <v>7</v>
      </c>
      <c r="AT161" s="14"/>
      <c r="AU161" s="14"/>
      <c r="AV161" s="14"/>
      <c r="AW161" s="14"/>
      <c r="AX161" s="14"/>
      <c r="AY161" s="14"/>
      <c r="AZ161" s="14"/>
      <c r="BC161" s="31" t="str">
        <f t="shared" si="50"/>
        <v/>
      </c>
      <c r="BD161" s="31" t="str">
        <f t="shared" si="51"/>
        <v/>
      </c>
      <c r="BE161" s="31" t="str">
        <f t="shared" si="52"/>
        <v/>
      </c>
      <c r="BF161" s="31" t="str">
        <f t="shared" si="53"/>
        <v/>
      </c>
      <c r="BG161" s="31" t="str">
        <f t="shared" si="54"/>
        <v/>
      </c>
      <c r="BH161" s="31" t="str">
        <f t="shared" si="55"/>
        <v/>
      </c>
      <c r="BI161" s="31" t="str">
        <f t="shared" si="56"/>
        <v>Y</v>
      </c>
      <c r="BJ161" s="30" t="str">
        <f t="shared" si="57"/>
        <v/>
      </c>
      <c r="BK161" s="31" t="str">
        <f t="shared" si="58"/>
        <v>Y</v>
      </c>
      <c r="BL161" s="30" t="str">
        <f t="shared" si="59"/>
        <v/>
      </c>
      <c r="BM161" s="31" t="str">
        <f t="shared" si="60"/>
        <v/>
      </c>
      <c r="BN161" s="31" t="str">
        <f t="shared" si="61"/>
        <v/>
      </c>
      <c r="BO161" s="31" t="str">
        <f t="shared" si="62"/>
        <v/>
      </c>
      <c r="BP161" s="31" t="str">
        <f t="shared" si="63"/>
        <v/>
      </c>
      <c r="BQ161" s="31" t="str">
        <f t="shared" si="64"/>
        <v>Y</v>
      </c>
      <c r="BR161" s="31" t="str">
        <f t="shared" si="65"/>
        <v/>
      </c>
      <c r="BS161" s="31" t="str">
        <f t="shared" si="66"/>
        <v/>
      </c>
      <c r="BT161" s="31" t="str">
        <f t="shared" si="67"/>
        <v/>
      </c>
      <c r="BU161" s="30" t="str">
        <f t="shared" si="68"/>
        <v/>
      </c>
      <c r="BV161" s="39" t="str">
        <f t="shared" si="69"/>
        <v>Y</v>
      </c>
      <c r="BW161" s="3" t="s">
        <v>205</v>
      </c>
    </row>
    <row r="162" spans="1:75" x14ac:dyDescent="0.35">
      <c r="A162" s="11" t="s">
        <v>285</v>
      </c>
      <c r="B162" s="3" t="s">
        <v>46</v>
      </c>
      <c r="C162" s="12"/>
      <c r="D162" s="59"/>
      <c r="E162" s="13"/>
      <c r="F162" s="13"/>
      <c r="G162" s="13"/>
      <c r="H162" s="13"/>
      <c r="I162" s="13"/>
      <c r="J162" s="13"/>
      <c r="K162" s="13"/>
      <c r="L162" s="13"/>
      <c r="N162" s="13"/>
      <c r="Q162" s="13"/>
      <c r="R162" s="13"/>
      <c r="S162" s="13"/>
      <c r="U162" s="28" t="s">
        <v>7</v>
      </c>
      <c r="V162" s="13"/>
      <c r="W162" s="13"/>
      <c r="X162" s="13"/>
      <c r="Y162" s="13"/>
      <c r="Z162" s="13"/>
      <c r="AA162" s="13"/>
      <c r="AB162" s="13"/>
      <c r="AD162" s="13"/>
      <c r="AE162" s="13"/>
      <c r="AF162" s="13"/>
      <c r="AG162" s="13"/>
      <c r="AH162" s="12"/>
      <c r="AI162" s="13"/>
      <c r="AJ162" s="14"/>
      <c r="AK162" s="13"/>
      <c r="AL162" s="13" t="s">
        <v>7</v>
      </c>
      <c r="AM162" s="15"/>
      <c r="AN162" s="149"/>
      <c r="AO162" s="14"/>
      <c r="AP162" s="14"/>
      <c r="AQ162" s="14" t="s">
        <v>7</v>
      </c>
      <c r="AR162" s="14"/>
      <c r="AS162" s="15"/>
      <c r="AT162" s="14"/>
      <c r="AU162" s="14"/>
      <c r="AV162" s="14"/>
      <c r="AW162" s="14"/>
      <c r="AX162" s="14"/>
      <c r="AY162" s="14"/>
      <c r="AZ162" s="14" t="s">
        <v>7</v>
      </c>
      <c r="BC162" s="31" t="str">
        <f t="shared" si="50"/>
        <v/>
      </c>
      <c r="BD162" s="31" t="str">
        <f t="shared" si="51"/>
        <v/>
      </c>
      <c r="BE162" s="31" t="str">
        <f t="shared" si="52"/>
        <v/>
      </c>
      <c r="BF162" s="31" t="str">
        <f t="shared" si="53"/>
        <v/>
      </c>
      <c r="BG162" s="31" t="str">
        <f t="shared" si="54"/>
        <v/>
      </c>
      <c r="BH162" s="31" t="str">
        <f t="shared" si="55"/>
        <v>Y</v>
      </c>
      <c r="BI162" s="31" t="str">
        <f t="shared" si="56"/>
        <v/>
      </c>
      <c r="BJ162" s="30" t="str">
        <f t="shared" si="57"/>
        <v/>
      </c>
      <c r="BK162" s="31" t="str">
        <f t="shared" si="58"/>
        <v>Y</v>
      </c>
      <c r="BL162" s="30" t="str">
        <f t="shared" si="59"/>
        <v/>
      </c>
      <c r="BM162" s="31" t="str">
        <f t="shared" si="60"/>
        <v/>
      </c>
      <c r="BN162" s="31" t="str">
        <f t="shared" si="61"/>
        <v/>
      </c>
      <c r="BO162" s="31" t="str">
        <f t="shared" si="62"/>
        <v/>
      </c>
      <c r="BP162" s="31" t="str">
        <f t="shared" si="63"/>
        <v/>
      </c>
      <c r="BQ162" s="31" t="str">
        <f t="shared" si="64"/>
        <v>Y</v>
      </c>
      <c r="BR162" s="31" t="str">
        <f t="shared" si="65"/>
        <v/>
      </c>
      <c r="BS162" s="31" t="str">
        <f t="shared" si="66"/>
        <v/>
      </c>
      <c r="BT162" s="31" t="str">
        <f t="shared" si="67"/>
        <v/>
      </c>
      <c r="BU162" s="30" t="str">
        <f t="shared" si="68"/>
        <v/>
      </c>
      <c r="BV162" s="39" t="str">
        <f t="shared" si="69"/>
        <v>Y</v>
      </c>
      <c r="BW162" s="3" t="s">
        <v>284</v>
      </c>
    </row>
    <row r="163" spans="1:75" x14ac:dyDescent="0.35">
      <c r="A163" s="11" t="s">
        <v>156</v>
      </c>
      <c r="B163" s="3" t="s">
        <v>46</v>
      </c>
      <c r="C163" s="12" t="s">
        <v>7</v>
      </c>
      <c r="D163" s="59"/>
      <c r="E163" s="13"/>
      <c r="F163" s="13"/>
      <c r="G163" s="13"/>
      <c r="H163" s="13"/>
      <c r="I163" s="13"/>
      <c r="J163" s="13"/>
      <c r="K163" s="13"/>
      <c r="L163" s="13"/>
      <c r="N163" s="13"/>
      <c r="Q163" s="13"/>
      <c r="R163" s="13"/>
      <c r="S163" s="13"/>
      <c r="V163" s="13"/>
      <c r="W163" s="13"/>
      <c r="X163" s="13"/>
      <c r="Y163" s="13"/>
      <c r="Z163" s="13"/>
      <c r="AA163" s="13"/>
      <c r="AB163" s="13"/>
      <c r="AD163" s="13"/>
      <c r="AE163" s="13"/>
      <c r="AF163" s="13"/>
      <c r="AG163" s="13"/>
      <c r="AH163" s="12"/>
      <c r="AI163" s="13"/>
      <c r="AJ163" s="14"/>
      <c r="AK163" s="13" t="s">
        <v>7</v>
      </c>
      <c r="AL163" s="13"/>
      <c r="AM163" s="15"/>
      <c r="AN163" s="149"/>
      <c r="AO163" s="14"/>
      <c r="AP163" s="14"/>
      <c r="AQ163" s="14" t="s">
        <v>7</v>
      </c>
      <c r="AR163" s="14"/>
      <c r="AS163" s="15"/>
      <c r="AT163" s="14"/>
      <c r="AU163" s="14"/>
      <c r="AV163" s="14"/>
      <c r="AW163" s="14"/>
      <c r="AX163" s="14"/>
      <c r="AY163" s="14"/>
      <c r="AZ163" s="14" t="s">
        <v>7</v>
      </c>
      <c r="BC163" s="31" t="str">
        <f t="shared" si="50"/>
        <v/>
      </c>
      <c r="BD163" s="31" t="str">
        <f t="shared" si="51"/>
        <v/>
      </c>
      <c r="BE163" s="31" t="str">
        <f t="shared" si="52"/>
        <v/>
      </c>
      <c r="BF163" s="31" t="str">
        <f t="shared" si="53"/>
        <v/>
      </c>
      <c r="BG163" s="31" t="str">
        <f t="shared" si="54"/>
        <v>Y</v>
      </c>
      <c r="BH163" s="31" t="str">
        <f t="shared" si="55"/>
        <v/>
      </c>
      <c r="BI163" s="31" t="str">
        <f t="shared" si="56"/>
        <v/>
      </c>
      <c r="BJ163" s="30" t="str">
        <f t="shared" si="57"/>
        <v/>
      </c>
      <c r="BK163" s="31" t="str">
        <f t="shared" si="58"/>
        <v>Y</v>
      </c>
      <c r="BL163" s="30" t="str">
        <f t="shared" si="59"/>
        <v/>
      </c>
      <c r="BM163" s="31" t="str">
        <f t="shared" si="60"/>
        <v/>
      </c>
      <c r="BN163" s="31" t="str">
        <f t="shared" si="61"/>
        <v/>
      </c>
      <c r="BO163" s="31" t="str">
        <f t="shared" si="62"/>
        <v>Y</v>
      </c>
      <c r="BP163" s="31" t="str">
        <f t="shared" si="63"/>
        <v/>
      </c>
      <c r="BQ163" s="31" t="str">
        <f t="shared" si="64"/>
        <v/>
      </c>
      <c r="BR163" s="31" t="str">
        <f t="shared" si="65"/>
        <v/>
      </c>
      <c r="BS163" s="31" t="str">
        <f t="shared" si="66"/>
        <v/>
      </c>
      <c r="BT163" s="31" t="str">
        <f t="shared" si="67"/>
        <v/>
      </c>
      <c r="BU163" s="30" t="str">
        <f t="shared" si="68"/>
        <v>Y</v>
      </c>
      <c r="BV163" s="39" t="str">
        <f t="shared" si="69"/>
        <v/>
      </c>
      <c r="BW163" s="3" t="s">
        <v>239</v>
      </c>
    </row>
    <row r="164" spans="1:75" ht="29" x14ac:dyDescent="0.35">
      <c r="A164" s="11" t="s">
        <v>158</v>
      </c>
      <c r="B164" s="3" t="s">
        <v>54</v>
      </c>
      <c r="C164" s="12" t="s">
        <v>7</v>
      </c>
      <c r="D164" s="59"/>
      <c r="E164" s="13"/>
      <c r="F164" s="13"/>
      <c r="G164" s="13"/>
      <c r="H164" s="13"/>
      <c r="I164" s="13"/>
      <c r="J164" s="13"/>
      <c r="K164" s="13"/>
      <c r="L164" s="13"/>
      <c r="N164" s="13"/>
      <c r="P164" s="13" t="s">
        <v>7</v>
      </c>
      <c r="Q164" s="13"/>
      <c r="R164" s="13"/>
      <c r="S164" s="13"/>
      <c r="V164" s="13"/>
      <c r="W164" s="13"/>
      <c r="X164" s="13"/>
      <c r="Y164" s="13"/>
      <c r="Z164" s="13"/>
      <c r="AA164" s="13"/>
      <c r="AB164" s="13"/>
      <c r="AD164" s="13"/>
      <c r="AE164" s="13"/>
      <c r="AF164" s="13"/>
      <c r="AG164" s="13" t="s">
        <v>7</v>
      </c>
      <c r="AH164" s="12"/>
      <c r="AI164" s="13"/>
      <c r="AJ164" s="14" t="s">
        <v>7</v>
      </c>
      <c r="AK164" s="13" t="s">
        <v>7</v>
      </c>
      <c r="AL164" s="13" t="s">
        <v>7</v>
      </c>
      <c r="AM164" s="15"/>
      <c r="AN164" s="149"/>
      <c r="AO164" s="14"/>
      <c r="AP164" s="14"/>
      <c r="AQ164" s="14" t="s">
        <v>7</v>
      </c>
      <c r="AR164" s="14"/>
      <c r="AS164" s="15"/>
      <c r="AT164" s="14"/>
      <c r="AU164" s="14"/>
      <c r="AV164" s="14"/>
      <c r="AW164" s="14"/>
      <c r="AX164" s="14" t="s">
        <v>7</v>
      </c>
      <c r="AY164" s="14"/>
      <c r="AZ164" s="14"/>
      <c r="BC164" s="31" t="str">
        <f t="shared" si="50"/>
        <v>Y</v>
      </c>
      <c r="BD164" s="31" t="str">
        <f t="shared" si="51"/>
        <v/>
      </c>
      <c r="BE164" s="31" t="str">
        <f t="shared" si="52"/>
        <v/>
      </c>
      <c r="BF164" s="31" t="str">
        <f t="shared" si="53"/>
        <v/>
      </c>
      <c r="BG164" s="31" t="str">
        <f t="shared" si="54"/>
        <v>Y</v>
      </c>
      <c r="BH164" s="31" t="str">
        <f t="shared" si="55"/>
        <v/>
      </c>
      <c r="BI164" s="31" t="str">
        <f t="shared" si="56"/>
        <v/>
      </c>
      <c r="BJ164" s="30" t="str">
        <f t="shared" si="57"/>
        <v>Y</v>
      </c>
      <c r="BK164" s="31" t="str">
        <f t="shared" si="58"/>
        <v>Y</v>
      </c>
      <c r="BL164" s="30" t="str">
        <f t="shared" si="59"/>
        <v>Y</v>
      </c>
      <c r="BM164" s="31" t="str">
        <f t="shared" si="60"/>
        <v/>
      </c>
      <c r="BN164" s="31" t="str">
        <f t="shared" si="61"/>
        <v/>
      </c>
      <c r="BO164" s="31" t="str">
        <f t="shared" si="62"/>
        <v>Y</v>
      </c>
      <c r="BP164" s="31" t="str">
        <f t="shared" si="63"/>
        <v/>
      </c>
      <c r="BQ164" s="31" t="str">
        <f t="shared" si="64"/>
        <v/>
      </c>
      <c r="BR164" s="31" t="str">
        <f t="shared" si="65"/>
        <v/>
      </c>
      <c r="BS164" s="31" t="str">
        <f t="shared" si="66"/>
        <v/>
      </c>
      <c r="BT164" s="31" t="str">
        <f t="shared" si="67"/>
        <v/>
      </c>
      <c r="BU164" s="30" t="str">
        <f t="shared" si="68"/>
        <v>Y</v>
      </c>
      <c r="BV164" s="39" t="str">
        <f t="shared" si="69"/>
        <v/>
      </c>
      <c r="BW164" s="3" t="s">
        <v>430</v>
      </c>
    </row>
    <row r="165" spans="1:75" x14ac:dyDescent="0.35">
      <c r="A165" s="11" t="s">
        <v>159</v>
      </c>
      <c r="B165" s="3" t="s">
        <v>18</v>
      </c>
      <c r="C165" s="3"/>
      <c r="D165" s="151"/>
      <c r="E165" s="13"/>
      <c r="F165" s="13"/>
      <c r="G165" s="13"/>
      <c r="H165" s="11"/>
      <c r="I165" s="11"/>
      <c r="J165" s="11"/>
      <c r="K165" s="13"/>
      <c r="L165" s="13"/>
      <c r="N165" s="13"/>
      <c r="Q165" s="13"/>
      <c r="R165" s="13"/>
      <c r="S165" s="13"/>
      <c r="U165" s="28" t="s">
        <v>7</v>
      </c>
      <c r="V165" s="13"/>
      <c r="W165" s="13"/>
      <c r="X165" s="13"/>
      <c r="Y165" s="13"/>
      <c r="Z165" s="13"/>
      <c r="AA165" s="13"/>
      <c r="AB165" s="13"/>
      <c r="AD165" s="13"/>
      <c r="AE165" s="13"/>
      <c r="AF165" s="13"/>
      <c r="AG165" s="13"/>
      <c r="AH165" s="12"/>
      <c r="AI165" s="13"/>
      <c r="AJ165" s="14"/>
      <c r="AK165" s="13"/>
      <c r="AL165" s="13" t="s">
        <v>7</v>
      </c>
      <c r="AM165" s="15"/>
      <c r="AN165" s="149"/>
      <c r="AO165" s="14"/>
      <c r="AP165" s="14"/>
      <c r="AQ165" s="14" t="s">
        <v>7</v>
      </c>
      <c r="AR165" s="14"/>
      <c r="AS165" s="15"/>
      <c r="AT165" s="14" t="s">
        <v>7</v>
      </c>
      <c r="AU165" s="14"/>
      <c r="AV165" s="14"/>
      <c r="AW165" s="14"/>
      <c r="AX165" s="14"/>
      <c r="AY165" s="14"/>
      <c r="AZ165" s="14"/>
      <c r="BC165" s="31" t="str">
        <f t="shared" si="50"/>
        <v/>
      </c>
      <c r="BD165" s="31" t="str">
        <f t="shared" si="51"/>
        <v/>
      </c>
      <c r="BE165" s="31" t="str">
        <f t="shared" si="52"/>
        <v/>
      </c>
      <c r="BF165" s="31" t="str">
        <f t="shared" si="53"/>
        <v/>
      </c>
      <c r="BG165" s="31" t="str">
        <f t="shared" si="54"/>
        <v/>
      </c>
      <c r="BH165" s="31" t="str">
        <f t="shared" si="55"/>
        <v>Y</v>
      </c>
      <c r="BI165" s="31" t="str">
        <f t="shared" si="56"/>
        <v/>
      </c>
      <c r="BJ165" s="30" t="str">
        <f t="shared" si="57"/>
        <v/>
      </c>
      <c r="BK165" s="31" t="str">
        <f t="shared" si="58"/>
        <v>Y</v>
      </c>
      <c r="BL165" s="30" t="str">
        <f t="shared" si="59"/>
        <v/>
      </c>
      <c r="BM165" s="31" t="str">
        <f t="shared" si="60"/>
        <v/>
      </c>
      <c r="BN165" s="31" t="str">
        <f t="shared" si="61"/>
        <v/>
      </c>
      <c r="BO165" s="31" t="str">
        <f t="shared" si="62"/>
        <v/>
      </c>
      <c r="BP165" s="31" t="str">
        <f t="shared" si="63"/>
        <v/>
      </c>
      <c r="BQ165" s="31" t="str">
        <f t="shared" si="64"/>
        <v>Y</v>
      </c>
      <c r="BR165" s="31" t="str">
        <f t="shared" si="65"/>
        <v/>
      </c>
      <c r="BS165" s="31" t="str">
        <f t="shared" si="66"/>
        <v/>
      </c>
      <c r="BT165" s="31" t="str">
        <f t="shared" si="67"/>
        <v/>
      </c>
      <c r="BU165" s="30" t="str">
        <f t="shared" si="68"/>
        <v/>
      </c>
      <c r="BV165" s="39" t="str">
        <f t="shared" si="69"/>
        <v>Y</v>
      </c>
      <c r="BW165" s="3" t="s">
        <v>213</v>
      </c>
    </row>
    <row r="166" spans="1:75" x14ac:dyDescent="0.35">
      <c r="A166" s="11" t="s">
        <v>160</v>
      </c>
      <c r="B166" s="3" t="s">
        <v>9</v>
      </c>
      <c r="C166" s="12" t="s">
        <v>7</v>
      </c>
      <c r="D166" s="59"/>
      <c r="E166" s="13"/>
      <c r="F166" s="13"/>
      <c r="G166" s="13"/>
      <c r="H166" s="13" t="s">
        <v>7</v>
      </c>
      <c r="I166" s="13"/>
      <c r="J166" s="13"/>
      <c r="K166" s="13"/>
      <c r="L166" s="13"/>
      <c r="N166" s="13"/>
      <c r="Q166" s="13"/>
      <c r="R166" s="13"/>
      <c r="S166" s="13"/>
      <c r="V166" s="13"/>
      <c r="W166" s="13"/>
      <c r="X166" s="13"/>
      <c r="Y166" s="13"/>
      <c r="Z166" s="13"/>
      <c r="AA166" s="13"/>
      <c r="AB166" s="13"/>
      <c r="AD166" s="13"/>
      <c r="AE166" s="13"/>
      <c r="AF166" s="13"/>
      <c r="AG166" s="13"/>
      <c r="AH166" s="12"/>
      <c r="AI166" s="13"/>
      <c r="AJ166" s="14"/>
      <c r="AK166" s="13" t="s">
        <v>7</v>
      </c>
      <c r="AL166" s="13"/>
      <c r="AM166" s="15"/>
      <c r="AN166" s="149"/>
      <c r="AO166" s="14"/>
      <c r="AP166" s="14"/>
      <c r="AQ166" s="14" t="s">
        <v>7</v>
      </c>
      <c r="AR166" s="14"/>
      <c r="AS166" s="15"/>
      <c r="AT166" s="14" t="s">
        <v>7</v>
      </c>
      <c r="AU166" s="14"/>
      <c r="AV166" s="14"/>
      <c r="AW166" s="14"/>
      <c r="AX166" s="14"/>
      <c r="AY166" s="14"/>
      <c r="AZ166" s="14"/>
      <c r="BC166" s="31" t="str">
        <f t="shared" si="50"/>
        <v/>
      </c>
      <c r="BD166" s="31" t="str">
        <f t="shared" si="51"/>
        <v/>
      </c>
      <c r="BE166" s="31" t="str">
        <f t="shared" si="52"/>
        <v/>
      </c>
      <c r="BF166" s="31" t="str">
        <f t="shared" si="53"/>
        <v/>
      </c>
      <c r="BG166" s="31" t="str">
        <f t="shared" si="54"/>
        <v>Y</v>
      </c>
      <c r="BH166" s="31" t="str">
        <f t="shared" si="55"/>
        <v/>
      </c>
      <c r="BI166" s="31" t="str">
        <f t="shared" si="56"/>
        <v>Y</v>
      </c>
      <c r="BJ166" s="30" t="str">
        <f t="shared" si="57"/>
        <v/>
      </c>
      <c r="BK166" s="31" t="str">
        <f t="shared" si="58"/>
        <v>Y</v>
      </c>
      <c r="BL166" s="30" t="str">
        <f t="shared" si="59"/>
        <v/>
      </c>
      <c r="BM166" s="31" t="str">
        <f t="shared" si="60"/>
        <v/>
      </c>
      <c r="BN166" s="31" t="str">
        <f t="shared" si="61"/>
        <v/>
      </c>
      <c r="BO166" s="31" t="str">
        <f t="shared" si="62"/>
        <v>Y</v>
      </c>
      <c r="BP166" s="31" t="str">
        <f t="shared" si="63"/>
        <v/>
      </c>
      <c r="BQ166" s="31" t="str">
        <f t="shared" si="64"/>
        <v/>
      </c>
      <c r="BR166" s="31" t="str">
        <f t="shared" si="65"/>
        <v/>
      </c>
      <c r="BS166" s="31" t="str">
        <f t="shared" si="66"/>
        <v>Y</v>
      </c>
      <c r="BT166" s="31" t="str">
        <f t="shared" si="67"/>
        <v/>
      </c>
      <c r="BU166" s="30" t="str">
        <f t="shared" si="68"/>
        <v>Y</v>
      </c>
      <c r="BV166" s="39" t="str">
        <f t="shared" si="69"/>
        <v>Y</v>
      </c>
      <c r="BW166" s="3" t="s">
        <v>235</v>
      </c>
    </row>
    <row r="167" spans="1:75" x14ac:dyDescent="0.35">
      <c r="A167" s="11" t="s">
        <v>161</v>
      </c>
      <c r="B167" s="3" t="s">
        <v>46</v>
      </c>
      <c r="C167" s="12" t="s">
        <v>7</v>
      </c>
      <c r="D167" s="59"/>
      <c r="E167" s="13"/>
      <c r="F167" s="13"/>
      <c r="G167" s="13"/>
      <c r="H167" s="13"/>
      <c r="I167" s="13"/>
      <c r="J167" s="13"/>
      <c r="K167" s="13"/>
      <c r="L167" s="13" t="s">
        <v>7</v>
      </c>
      <c r="N167" s="13"/>
      <c r="Q167" s="13"/>
      <c r="R167" s="13"/>
      <c r="S167" s="13"/>
      <c r="V167" s="13"/>
      <c r="W167" s="13"/>
      <c r="X167" s="13"/>
      <c r="Y167" s="13"/>
      <c r="Z167" s="13"/>
      <c r="AA167" s="13"/>
      <c r="AB167" s="13"/>
      <c r="AD167" s="13"/>
      <c r="AE167" s="13"/>
      <c r="AF167" s="13"/>
      <c r="AG167" s="13"/>
      <c r="AH167" s="12"/>
      <c r="AI167" s="13"/>
      <c r="AJ167" s="14"/>
      <c r="AK167" s="13" t="s">
        <v>7</v>
      </c>
      <c r="AL167" s="13" t="s">
        <v>7</v>
      </c>
      <c r="AM167" s="15"/>
      <c r="AN167" s="149"/>
      <c r="AO167" s="14"/>
      <c r="AP167" s="14"/>
      <c r="AQ167" s="14" t="s">
        <v>7</v>
      </c>
      <c r="AR167" s="14"/>
      <c r="AS167" s="15"/>
      <c r="AT167" s="14"/>
      <c r="AU167" s="14"/>
      <c r="AV167" s="14"/>
      <c r="AW167" s="14"/>
      <c r="AX167" s="14"/>
      <c r="AY167" s="14"/>
      <c r="AZ167" s="14" t="s">
        <v>7</v>
      </c>
      <c r="BC167" s="31" t="str">
        <f t="shared" si="50"/>
        <v/>
      </c>
      <c r="BD167" s="31" t="str">
        <f t="shared" si="51"/>
        <v/>
      </c>
      <c r="BE167" s="31" t="str">
        <f t="shared" si="52"/>
        <v/>
      </c>
      <c r="BF167" s="31" t="str">
        <f t="shared" si="53"/>
        <v/>
      </c>
      <c r="BG167" s="31" t="str">
        <f t="shared" si="54"/>
        <v>Y</v>
      </c>
      <c r="BH167" s="31" t="str">
        <f t="shared" si="55"/>
        <v/>
      </c>
      <c r="BI167" s="31" t="str">
        <f t="shared" si="56"/>
        <v/>
      </c>
      <c r="BJ167" s="30" t="str">
        <f t="shared" si="57"/>
        <v/>
      </c>
      <c r="BK167" s="31" t="str">
        <f t="shared" si="58"/>
        <v>Y</v>
      </c>
      <c r="BL167" s="30" t="str">
        <f t="shared" si="59"/>
        <v/>
      </c>
      <c r="BM167" s="31" t="str">
        <f t="shared" si="60"/>
        <v/>
      </c>
      <c r="BN167" s="31" t="str">
        <f t="shared" si="61"/>
        <v>Y</v>
      </c>
      <c r="BO167" s="31" t="str">
        <f t="shared" si="62"/>
        <v>Y</v>
      </c>
      <c r="BP167" s="31" t="str">
        <f t="shared" si="63"/>
        <v/>
      </c>
      <c r="BQ167" s="31" t="str">
        <f t="shared" si="64"/>
        <v/>
      </c>
      <c r="BR167" s="31" t="str">
        <f t="shared" si="65"/>
        <v/>
      </c>
      <c r="BS167" s="31" t="str">
        <f t="shared" si="66"/>
        <v/>
      </c>
      <c r="BT167" s="31" t="str">
        <f t="shared" si="67"/>
        <v/>
      </c>
      <c r="BU167" s="30" t="str">
        <f t="shared" si="68"/>
        <v>Y</v>
      </c>
      <c r="BV167" s="39" t="str">
        <f t="shared" si="69"/>
        <v/>
      </c>
      <c r="BW167" s="3" t="s">
        <v>239</v>
      </c>
    </row>
    <row r="168" spans="1:75" x14ac:dyDescent="0.35">
      <c r="A168" s="11" t="s">
        <v>162</v>
      </c>
      <c r="B168" s="3" t="s">
        <v>12</v>
      </c>
      <c r="C168" s="12"/>
      <c r="D168" s="59"/>
      <c r="E168" s="13"/>
      <c r="F168" s="13"/>
      <c r="G168" s="13"/>
      <c r="H168" s="13"/>
      <c r="I168" s="13"/>
      <c r="J168" s="13"/>
      <c r="K168" s="13"/>
      <c r="L168" s="13"/>
      <c r="N168" s="13"/>
      <c r="Q168" s="13"/>
      <c r="R168" s="13"/>
      <c r="S168" s="13"/>
      <c r="V168" s="13"/>
      <c r="W168" s="13"/>
      <c r="X168" s="13"/>
      <c r="Y168" s="13"/>
      <c r="Z168" s="13"/>
      <c r="AA168" s="13"/>
      <c r="AB168" s="13"/>
      <c r="AD168" s="13"/>
      <c r="AE168" s="13" t="s">
        <v>7</v>
      </c>
      <c r="AF168" s="13"/>
      <c r="AG168" s="13"/>
      <c r="AH168" s="12"/>
      <c r="AI168" s="13"/>
      <c r="AJ168" s="14"/>
      <c r="AK168" s="13"/>
      <c r="AL168" s="13" t="s">
        <v>7</v>
      </c>
      <c r="AM168" s="15"/>
      <c r="AN168" s="149"/>
      <c r="AO168" s="14"/>
      <c r="AP168" s="14"/>
      <c r="AQ168" s="14"/>
      <c r="AR168" s="14" t="s">
        <v>7</v>
      </c>
      <c r="AS168" s="15" t="s">
        <v>7</v>
      </c>
      <c r="AT168" s="14"/>
      <c r="AU168" s="14"/>
      <c r="AV168" s="14"/>
      <c r="AW168" s="14"/>
      <c r="AX168" s="14"/>
      <c r="AY168" s="14"/>
      <c r="AZ168" s="14"/>
      <c r="BC168" s="31" t="str">
        <f t="shared" si="50"/>
        <v/>
      </c>
      <c r="BD168" s="31" t="str">
        <f t="shared" si="51"/>
        <v/>
      </c>
      <c r="BE168" s="31" t="str">
        <f t="shared" si="52"/>
        <v/>
      </c>
      <c r="BF168" s="31" t="str">
        <f t="shared" si="53"/>
        <v/>
      </c>
      <c r="BG168" s="31" t="str">
        <f t="shared" si="54"/>
        <v/>
      </c>
      <c r="BH168" s="31" t="str">
        <f t="shared" si="55"/>
        <v/>
      </c>
      <c r="BI168" s="31" t="str">
        <f t="shared" si="56"/>
        <v>Y</v>
      </c>
      <c r="BJ168" s="30" t="str">
        <f t="shared" si="57"/>
        <v/>
      </c>
      <c r="BK168" s="31" t="str">
        <f t="shared" si="58"/>
        <v>Y</v>
      </c>
      <c r="BL168" s="30" t="str">
        <f t="shared" si="59"/>
        <v/>
      </c>
      <c r="BM168" s="31" t="str">
        <f t="shared" si="60"/>
        <v/>
      </c>
      <c r="BN168" s="31" t="str">
        <f t="shared" si="61"/>
        <v/>
      </c>
      <c r="BO168" s="31" t="str">
        <f t="shared" si="62"/>
        <v/>
      </c>
      <c r="BP168" s="31" t="str">
        <f t="shared" si="63"/>
        <v/>
      </c>
      <c r="BQ168" s="31" t="str">
        <f t="shared" si="64"/>
        <v/>
      </c>
      <c r="BR168" s="31" t="str">
        <f t="shared" si="65"/>
        <v/>
      </c>
      <c r="BS168" s="31" t="str">
        <f t="shared" si="66"/>
        <v/>
      </c>
      <c r="BT168" s="31" t="str">
        <f t="shared" si="67"/>
        <v>Y</v>
      </c>
      <c r="BU168" s="30" t="str">
        <f t="shared" si="68"/>
        <v/>
      </c>
      <c r="BV168" s="39" t="str">
        <f t="shared" si="69"/>
        <v>Y</v>
      </c>
      <c r="BW168" s="3" t="s">
        <v>191</v>
      </c>
    </row>
    <row r="169" spans="1:75" x14ac:dyDescent="0.35">
      <c r="A169" s="11" t="s">
        <v>175</v>
      </c>
      <c r="B169" s="3" t="s">
        <v>14</v>
      </c>
      <c r="C169" s="12"/>
      <c r="D169" s="59"/>
      <c r="E169" s="13"/>
      <c r="F169" s="13"/>
      <c r="G169" s="13"/>
      <c r="H169" s="13"/>
      <c r="I169" s="13"/>
      <c r="J169" s="13"/>
      <c r="K169" s="13"/>
      <c r="L169" s="13"/>
      <c r="N169" s="13"/>
      <c r="Q169" s="13"/>
      <c r="R169" s="13"/>
      <c r="S169" s="13"/>
      <c r="V169" s="13"/>
      <c r="W169" s="13"/>
      <c r="X169" s="13"/>
      <c r="Y169" s="13"/>
      <c r="Z169" s="13"/>
      <c r="AA169" s="13"/>
      <c r="AB169" s="13"/>
      <c r="AD169" s="13"/>
      <c r="AE169" s="13" t="s">
        <v>7</v>
      </c>
      <c r="AF169" s="13"/>
      <c r="AG169" s="13"/>
      <c r="AH169" s="12"/>
      <c r="AI169" s="13"/>
      <c r="AJ169" s="14"/>
      <c r="AK169" s="13"/>
      <c r="AL169" s="13" t="s">
        <v>7</v>
      </c>
      <c r="AM169" s="15"/>
      <c r="AN169" s="149"/>
      <c r="AO169" s="14" t="s">
        <v>7</v>
      </c>
      <c r="AP169" s="14"/>
      <c r="AQ169" s="14"/>
      <c r="AR169" s="14"/>
      <c r="AS169" s="15"/>
      <c r="AT169" s="14"/>
      <c r="AU169" s="14"/>
      <c r="AV169" s="14"/>
      <c r="AW169" s="14"/>
      <c r="AX169" s="14"/>
      <c r="AY169" s="14" t="s">
        <v>7</v>
      </c>
      <c r="AZ169" s="14"/>
      <c r="BC169" s="31" t="str">
        <f t="shared" si="50"/>
        <v/>
      </c>
      <c r="BD169" s="31" t="str">
        <f t="shared" si="51"/>
        <v/>
      </c>
      <c r="BE169" s="31" t="str">
        <f t="shared" si="52"/>
        <v/>
      </c>
      <c r="BF169" s="31" t="str">
        <f t="shared" si="53"/>
        <v/>
      </c>
      <c r="BG169" s="31" t="str">
        <f t="shared" si="54"/>
        <v/>
      </c>
      <c r="BH169" s="31" t="str">
        <f t="shared" si="55"/>
        <v/>
      </c>
      <c r="BI169" s="31" t="str">
        <f t="shared" si="56"/>
        <v>Y</v>
      </c>
      <c r="BJ169" s="30" t="str">
        <f t="shared" si="57"/>
        <v/>
      </c>
      <c r="BK169" s="31" t="str">
        <f t="shared" si="58"/>
        <v>Y</v>
      </c>
      <c r="BL169" s="30" t="str">
        <f t="shared" si="59"/>
        <v/>
      </c>
      <c r="BM169" s="31" t="str">
        <f t="shared" si="60"/>
        <v/>
      </c>
      <c r="BN169" s="31" t="str">
        <f t="shared" si="61"/>
        <v/>
      </c>
      <c r="BO169" s="31" t="str">
        <f t="shared" si="62"/>
        <v/>
      </c>
      <c r="BP169" s="31" t="str">
        <f t="shared" si="63"/>
        <v/>
      </c>
      <c r="BQ169" s="31" t="str">
        <f t="shared" si="64"/>
        <v/>
      </c>
      <c r="BR169" s="31" t="str">
        <f t="shared" si="65"/>
        <v/>
      </c>
      <c r="BS169" s="31" t="str">
        <f t="shared" si="66"/>
        <v/>
      </c>
      <c r="BT169" s="31" t="str">
        <f t="shared" si="67"/>
        <v>Y</v>
      </c>
      <c r="BU169" s="30" t="str">
        <f t="shared" si="68"/>
        <v/>
      </c>
      <c r="BV169" s="39" t="str">
        <f t="shared" si="69"/>
        <v>Y</v>
      </c>
      <c r="BW169" s="3" t="s">
        <v>214</v>
      </c>
    </row>
    <row r="170" spans="1:75" ht="29" x14ac:dyDescent="0.35">
      <c r="A170" s="13"/>
      <c r="B170" s="12" t="s">
        <v>170</v>
      </c>
      <c r="C170" s="12" t="s">
        <v>7</v>
      </c>
      <c r="D170" s="59" t="s">
        <v>7</v>
      </c>
      <c r="E170" s="13"/>
      <c r="F170" s="13"/>
      <c r="G170" s="13"/>
      <c r="H170" s="13" t="s">
        <v>7</v>
      </c>
      <c r="I170" s="13"/>
      <c r="J170" s="13"/>
      <c r="K170" s="13"/>
      <c r="L170" s="13" t="s">
        <v>7</v>
      </c>
      <c r="M170" s="13" t="s">
        <v>7</v>
      </c>
      <c r="N170" s="13"/>
      <c r="O170" s="13" t="s">
        <v>7</v>
      </c>
      <c r="Q170" s="13" t="s">
        <v>7</v>
      </c>
      <c r="R170" s="13"/>
      <c r="S170" s="13"/>
      <c r="T170" s="28" t="s">
        <v>7</v>
      </c>
      <c r="V170" s="13" t="s">
        <v>7</v>
      </c>
      <c r="W170" s="13" t="s">
        <v>7</v>
      </c>
      <c r="X170" s="13"/>
      <c r="Y170" s="13"/>
      <c r="Z170" s="13" t="s">
        <v>7</v>
      </c>
      <c r="AA170" s="13"/>
      <c r="AB170" s="13"/>
      <c r="AD170" s="13"/>
      <c r="AE170" s="13"/>
      <c r="AF170" s="13"/>
      <c r="AG170" s="13"/>
      <c r="AH170" s="12"/>
      <c r="AI170" s="13"/>
      <c r="AJ170" s="14"/>
      <c r="AK170" s="13" t="s">
        <v>7</v>
      </c>
      <c r="AL170" s="13" t="s">
        <v>7</v>
      </c>
      <c r="AM170" s="12"/>
      <c r="AN170" s="59"/>
      <c r="AO170" s="13"/>
      <c r="AP170" s="13"/>
      <c r="AQ170" s="13"/>
      <c r="AR170" s="13"/>
      <c r="AS170" s="12"/>
      <c r="AT170" s="13" t="s">
        <v>7</v>
      </c>
      <c r="AU170" s="13"/>
      <c r="AV170" s="13"/>
      <c r="AW170" s="13"/>
      <c r="AX170" s="13"/>
      <c r="AY170" s="13"/>
      <c r="AZ170" s="13"/>
      <c r="BC170" s="31" t="str">
        <f t="shared" si="50"/>
        <v>Y</v>
      </c>
      <c r="BD170" s="31" t="str">
        <f t="shared" si="51"/>
        <v>Y</v>
      </c>
      <c r="BE170" s="31" t="str">
        <f t="shared" si="52"/>
        <v/>
      </c>
      <c r="BF170" s="31" t="str">
        <f t="shared" si="53"/>
        <v/>
      </c>
      <c r="BG170" s="31" t="str">
        <f t="shared" si="54"/>
        <v>Y</v>
      </c>
      <c r="BH170" s="31" t="str">
        <f t="shared" si="55"/>
        <v>Y</v>
      </c>
      <c r="BI170" s="31" t="str">
        <f t="shared" si="56"/>
        <v>Y</v>
      </c>
      <c r="BJ170" s="30" t="str">
        <f t="shared" si="57"/>
        <v>Y</v>
      </c>
      <c r="BK170" s="31" t="str">
        <f t="shared" si="58"/>
        <v>Y</v>
      </c>
      <c r="BL170" s="30" t="str">
        <f t="shared" si="59"/>
        <v/>
      </c>
      <c r="BM170" s="31" t="str">
        <f t="shared" si="60"/>
        <v>Y</v>
      </c>
      <c r="BN170" s="31" t="str">
        <f t="shared" si="61"/>
        <v>Y</v>
      </c>
      <c r="BO170" s="31" t="str">
        <f t="shared" si="62"/>
        <v>Y</v>
      </c>
      <c r="BP170" s="31" t="str">
        <f t="shared" si="63"/>
        <v>Y</v>
      </c>
      <c r="BQ170" s="31" t="str">
        <f t="shared" si="64"/>
        <v>Y</v>
      </c>
      <c r="BR170" s="31" t="str">
        <f t="shared" si="65"/>
        <v>Y</v>
      </c>
      <c r="BS170" s="31" t="str">
        <f t="shared" si="66"/>
        <v>Y</v>
      </c>
      <c r="BT170" s="31" t="str">
        <f t="shared" si="67"/>
        <v/>
      </c>
      <c r="BU170" s="30" t="str">
        <f t="shared" si="68"/>
        <v>Y</v>
      </c>
      <c r="BV170" s="39" t="str">
        <f t="shared" si="69"/>
        <v>Y</v>
      </c>
      <c r="BW170" s="3" t="s">
        <v>445</v>
      </c>
    </row>
    <row r="171" spans="1:75" x14ac:dyDescent="0.35">
      <c r="AH171" s="12"/>
      <c r="AI171" s="13"/>
      <c r="AJ171" s="14"/>
      <c r="AK171" s="13"/>
      <c r="AL171" s="13"/>
      <c r="BV171" s="39"/>
    </row>
  </sheetData>
  <sortState xmlns:xlrd2="http://schemas.microsoft.com/office/spreadsheetml/2017/richdata2" ref="A3:BW170">
    <sortCondition ref="A3:A170"/>
  </sortState>
  <mergeCells count="6">
    <mergeCell ref="C1:AG1"/>
    <mergeCell ref="BL1:BV1"/>
    <mergeCell ref="AH1:AL1"/>
    <mergeCell ref="BA1:BK1"/>
    <mergeCell ref="AS1:AZ1"/>
    <mergeCell ref="AM1:AR1"/>
  </mergeCells>
  <conditionalFormatting sqref="A90:A1048576 A37:A88 A1:A35">
    <cfRule type="duplicateValues" dxfId="2" priority="5"/>
  </conditionalFormatting>
  <conditionalFormatting sqref="A36">
    <cfRule type="duplicateValues" dxfId="1" priority="2"/>
  </conditionalFormatting>
  <conditionalFormatting sqref="A89">
    <cfRule type="duplicateValues" dxfId="0" priority="1"/>
  </conditionalFormatting>
  <hyperlinks>
    <hyperlink ref="AD118" r:id="rId1" display="https://www.sciencedirect.com/science/article/pii/S0301926815002727"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zoomScale="70" zoomScaleNormal="70" workbookViewId="0"/>
  </sheetViews>
  <sheetFormatPr defaultRowHeight="14.5" x14ac:dyDescent="0.35"/>
  <cols>
    <col min="1" max="1" width="99" style="20" customWidth="1"/>
    <col min="2" max="5" width="3.453125" bestFit="1" customWidth="1"/>
    <col min="6" max="6" width="3.453125" style="20" bestFit="1" customWidth="1"/>
    <col min="7" max="11" width="3.453125" bestFit="1" customWidth="1"/>
  </cols>
  <sheetData>
    <row r="1" spans="1:11" x14ac:dyDescent="0.35">
      <c r="A1" s="124"/>
      <c r="B1" s="206" t="s">
        <v>316</v>
      </c>
      <c r="C1" s="207"/>
      <c r="D1" s="207"/>
      <c r="E1" s="207"/>
      <c r="F1" s="208"/>
      <c r="G1" s="205" t="s">
        <v>317</v>
      </c>
      <c r="H1" s="205"/>
      <c r="I1" s="205"/>
      <c r="J1" s="205"/>
      <c r="K1" s="205"/>
    </row>
    <row r="2" spans="1:11" ht="113.5" x14ac:dyDescent="0.35">
      <c r="A2" s="125" t="s">
        <v>171</v>
      </c>
      <c r="B2" s="45" t="s">
        <v>18</v>
      </c>
      <c r="C2" s="45" t="s">
        <v>9</v>
      </c>
      <c r="D2" s="45" t="s">
        <v>314</v>
      </c>
      <c r="E2" s="45" t="s">
        <v>315</v>
      </c>
      <c r="F2" s="46" t="s">
        <v>320</v>
      </c>
      <c r="G2" s="47" t="s">
        <v>384</v>
      </c>
      <c r="H2" s="47" t="s">
        <v>490</v>
      </c>
      <c r="I2" s="47" t="s">
        <v>14</v>
      </c>
      <c r="J2" s="47" t="s">
        <v>318</v>
      </c>
      <c r="K2" s="47" t="s">
        <v>319</v>
      </c>
    </row>
    <row r="3" spans="1:11" x14ac:dyDescent="0.35">
      <c r="A3" s="159" t="s">
        <v>460</v>
      </c>
      <c r="B3">
        <f>COUNTIFS('Data - Taxa'!C$3:C$169, "Y", 'Data - Taxa'!$B$3:$B$169, "Bilateralomorpha")</f>
        <v>11</v>
      </c>
      <c r="C3">
        <f>COUNTIFS('Data - Taxa'!C$3:C$169, "Y", 'Data - Taxa'!$B$3:$B$169, "Dickinsoniomorpha")</f>
        <v>5</v>
      </c>
      <c r="D3">
        <f>COUNTIFS('Data - Taxa'!C$3:C$169, "Y", 'Data - Taxa'!$B$3:$B$169, "Kimberellamorpha")</f>
        <v>2</v>
      </c>
      <c r="E3">
        <f>COUNTIFS('Data - Taxa'!C$3:C$169, "Y", 'Data - Taxa'!$AT$3:$AT$169, "Y")</f>
        <v>18</v>
      </c>
      <c r="F3" s="20">
        <f>COUNTIF('Data - Taxa'!C170, "Y")</f>
        <v>1</v>
      </c>
      <c r="G3">
        <f>COUNTIFS('Data - Taxa'!C$3:C$169, "Y", 'Data - Taxa'!$B$3:$B$169, "Complex discoidal", 'Data - Taxa'!$AM$3:$AM$169, "Y")+COUNTIFS('Data - Taxa'!C$3:C$169, "Y", 'Data - Taxa'!$B$3:$B$169, "Complex discoidal", 'Data - Taxa'!$AN$3:$AN$169, "Y")</f>
        <v>0</v>
      </c>
      <c r="H3">
        <f>COUNTIFS('Data - Taxa'!C$3:C$169, "Y", 'Data - Taxa'!$B$3:$B$169, "Bilateralomorpha", 'Data - Taxa'!$AM$3:$AM$169, "Y")+COUNTIFS('Data - Taxa'!C$3:C$169, "Y", 'Data - Taxa'!$B$3:$B$169, "Bilateralomorpha", 'Data - Taxa'!$AN$3:$AN$169, "Y")</f>
        <v>0</v>
      </c>
      <c r="I3">
        <f>COUNTIFS('Data - Taxa'!C$3:C$169, "Y", 'Data - Taxa'!$B$3:$B$169, "Tubular", 'Data - Taxa'!$AM$3:$AM$169, "Y")+COUNTIFS('Data - Taxa'!C$3:C$169, "Y", 'Data - Taxa'!$B$3:$B$169, "Tubular", 'Data - Taxa'!$AN$3:$AN$169, "Y")</f>
        <v>0</v>
      </c>
      <c r="J3">
        <f>COUNTIFS('Data - Taxa'!C$3:C$169, "Y", 'Data - Taxa'!$AM$3:$AM$169, "Y") + COUNTIFS('Data - Taxa'!C$3:C$169, "Y", 'Data - Taxa'!$AM$3:$AM$169, "", 'Data - Taxa'!$AY$3:$AY$169, "Y")+COUNTIFS('Data - Taxa'!C$3:C$169, "Y", 'Data - Taxa'!$AN$3:$AN$169, "Y") + COUNTIFS('Data - Taxa'!C$3:C$169, "Y", 'Data - Taxa'!$AN$3:$AN$169, "", 'Data - Taxa'!$AY$3:$AY$169, "Y")</f>
        <v>6</v>
      </c>
      <c r="K3">
        <f>COUNTIFS('Data - Taxa'!C$3:C$169, "Y", 'Data - Taxa'!$AM$3:$AM$169, "Y")+COUNTIFS('Data - Taxa'!C$3:C$169, "Y", 'Data - Taxa'!$AN$3:$AN$169, "Y")</f>
        <v>0</v>
      </c>
    </row>
    <row r="4" spans="1:11" x14ac:dyDescent="0.35">
      <c r="A4" s="160" t="s">
        <v>461</v>
      </c>
      <c r="B4">
        <f>COUNTIFS('Data - Taxa'!D$3:D$169, "Y", 'Data - Taxa'!$B$3:$B$169, "Bilateralomorpha")</f>
        <v>0</v>
      </c>
      <c r="C4">
        <f>COUNTIFS('Data - Taxa'!D$3:D$169, "Y", 'Data - Taxa'!$B$3:$B$169, "Dickinsoniomorpha")</f>
        <v>0</v>
      </c>
      <c r="D4">
        <f>COUNTIFS('Data - Taxa'!D$3:D$169, "Y", 'Data - Taxa'!$B$3:$B$169, "Kimberellamorpha")</f>
        <v>0</v>
      </c>
      <c r="E4">
        <f>COUNTIFS('Data - Taxa'!D$3:D$169, "Y", 'Data - Taxa'!$AT$3:$AT$169, "Y")</f>
        <v>0</v>
      </c>
      <c r="F4" s="20">
        <f>COUNTIF('Data - Taxa'!C170, "Y")</f>
        <v>1</v>
      </c>
      <c r="G4">
        <f>COUNTIFS('Data - Taxa'!D$3:D$169, "Y", 'Data - Taxa'!$B$3:$B$169, "Complex discoidal", 'Data - Taxa'!$AM$3:$AM$169, "Y")+COUNTIFS('Data - Taxa'!D$3:D$169, "Y", 'Data - Taxa'!$B$3:$B$169, "Complex discoidal", 'Data - Taxa'!$AN$3:$AN$169, "Y")</f>
        <v>0</v>
      </c>
      <c r="H4">
        <f>COUNTIFS('Data - Taxa'!D$3:D$169, "Y", 'Data - Taxa'!$B$3:$B$169, "Bilateralomorpha", 'Data - Taxa'!$AM$3:$AM$169, "Y")+COUNTIFS('Data - Taxa'!D$3:D$169, "Y", 'Data - Taxa'!$B$3:$B$169, "Bilateralomorpha", 'Data - Taxa'!$AN$3:$AN$169, "Y")</f>
        <v>0</v>
      </c>
      <c r="I4">
        <f>COUNTIFS('Data - Taxa'!D$3:D$169, "Y", 'Data - Taxa'!$B$3:$B$169, "Tubular", 'Data - Taxa'!$AM$3:$AM$169, "Y")+COUNTIFS('Data - Taxa'!D$3:D$169, "Y", 'Data - Taxa'!$B$3:$B$169, "Tubular", 'Data - Taxa'!$AN$3:$AN$169, "Y")</f>
        <v>0</v>
      </c>
      <c r="J4">
        <f>COUNTIFS('Data - Taxa'!D$3:D$169, "Y", 'Data - Taxa'!$AM$3:$AM$169, "Y") + COUNTIFS('Data - Taxa'!D$3:D$169, "Y", 'Data - Taxa'!$AM$3:$AM$169, "", 'Data - Taxa'!$AY$3:$AY$169, "Y")+COUNTIFS('Data - Taxa'!D$3:D$169, "Y", 'Data - Taxa'!$AN$3:$AN$169, "Y") + COUNTIFS('Data - Taxa'!D$3:D$169, "Y", 'Data - Taxa'!$AN$3:$AN$169, "", 'Data - Taxa'!$AY$3:$AY$169, "Y")</f>
        <v>0</v>
      </c>
      <c r="K4">
        <f>COUNTIFS('Data - Taxa'!D$3:D$169, "Y", 'Data - Taxa'!$AM$3:$AM$169, "Y")+COUNTIFS('Data - Taxa'!D$3:D$169, "Y", 'Data - Taxa'!$AN$3:$AN$169, "Y")</f>
        <v>0</v>
      </c>
    </row>
    <row r="5" spans="1:11" x14ac:dyDescent="0.35">
      <c r="A5" s="160" t="s">
        <v>462</v>
      </c>
      <c r="B5">
        <f>COUNTIFS('Data - Taxa'!E$3:E$169, "Y", 'Data - Taxa'!$B$3:$B$169, "Bilateralomorpha")</f>
        <v>0</v>
      </c>
      <c r="C5">
        <f>COUNTIFS('Data - Taxa'!E$3:E$169, "Y", 'Data - Taxa'!$B$3:$B$169, "Dickinsoniomorpha")</f>
        <v>1</v>
      </c>
      <c r="D5">
        <f>COUNTIFS('Data - Taxa'!E$3:E$169, "Y", 'Data - Taxa'!$B$3:$B$169, "Kimberellamorpha")</f>
        <v>0</v>
      </c>
      <c r="E5">
        <f>COUNTIFS('Data - Taxa'!E$3:E$169, "Y", 'Data - Taxa'!$AT$3:$AT$169, "Y")</f>
        <v>1</v>
      </c>
      <c r="F5" s="20">
        <f>COUNTIF('Data - Taxa'!E170, "Y")</f>
        <v>0</v>
      </c>
      <c r="G5">
        <f>COUNTIFS('Data - Taxa'!E$3:E$169, "Y", 'Data - Taxa'!$B$3:$B$169, "Complex discoidal", 'Data - Taxa'!$AM$3:$AM$169, "Y")+COUNTIFS('Data - Taxa'!E$3:E$169, "Y", 'Data - Taxa'!$B$3:$B$169, "Complex discoidal", 'Data - Taxa'!$AN$3:$AN$169, "Y")</f>
        <v>0</v>
      </c>
      <c r="H5">
        <f>COUNTIFS('Data - Taxa'!E$3:E$169, "Y", 'Data - Taxa'!$B$3:$B$169, "Bilateralomorpha", 'Data - Taxa'!$AM$3:$AM$169, "Y")+COUNTIFS('Data - Taxa'!E$3:E$169, "Y", 'Data - Taxa'!$B$3:$B$169, "Bilateralomorpha", 'Data - Taxa'!$AN$3:$AN$169, "Y")</f>
        <v>0</v>
      </c>
      <c r="I5">
        <f>COUNTIFS('Data - Taxa'!E$3:E$169, "Y", 'Data - Taxa'!$B$3:$B$169, "Tubular", 'Data - Taxa'!$AM$3:$AM$169, "Y")+COUNTIFS('Data - Taxa'!E$3:E$169, "Y", 'Data - Taxa'!$B$3:$B$169, "Tubular", 'Data - Taxa'!$AN$3:$AN$169, "Y")</f>
        <v>0</v>
      </c>
      <c r="J5">
        <f>COUNTIFS('Data - Taxa'!E$3:E$169, "Y", 'Data - Taxa'!$AM$3:$AM$169, "Y") + COUNTIFS('Data - Taxa'!E$3:E$169, "Y", 'Data - Taxa'!$AM$3:$AM$169, "", 'Data - Taxa'!$AY$3:$AY$169, "Y")+COUNTIFS('Data - Taxa'!E$3:E$169, "Y", 'Data - Taxa'!$AN$3:$AN$169, "Y") + COUNTIFS('Data - Taxa'!E$3:E$169, "Y", 'Data - Taxa'!$AN$3:$AN$169, "", 'Data - Taxa'!$AY$3:$AY$169, "Y")</f>
        <v>0</v>
      </c>
      <c r="K5">
        <f>COUNTIFS('Data - Taxa'!E$3:E$169, "Y", 'Data - Taxa'!$AM$3:$AM$169, "Y")+COUNTIFS('Data - Taxa'!E$3:E$169, "Y", 'Data - Taxa'!$AN$3:$AN$169, "Y")</f>
        <v>0</v>
      </c>
    </row>
    <row r="6" spans="1:11" x14ac:dyDescent="0.35">
      <c r="A6" s="160" t="s">
        <v>463</v>
      </c>
      <c r="B6">
        <f>COUNTIFS('Data - Taxa'!F$3:F$169, "Y", 'Data - Taxa'!$B$3:$B$169, "Bilateralomorpha")</f>
        <v>1</v>
      </c>
      <c r="C6">
        <f>COUNTIFS('Data - Taxa'!F$3:F$169, "Y", 'Data - Taxa'!$B$3:$B$169, "Dickinsoniomorpha")</f>
        <v>0</v>
      </c>
      <c r="D6">
        <f>COUNTIFS('Data - Taxa'!F$3:F$169, "Y", 'Data - Taxa'!$B$3:$B$169, "Kimberellamorpha")</f>
        <v>0</v>
      </c>
      <c r="E6">
        <f>COUNTIFS('Data - Taxa'!F$3:F$169, "Y", 'Data - Taxa'!$AT$3:$AT$169, "Y")</f>
        <v>1</v>
      </c>
      <c r="F6" s="20">
        <f>COUNTIF('Data - Taxa'!F170, "Y")</f>
        <v>0</v>
      </c>
      <c r="G6">
        <f>COUNTIFS('Data - Taxa'!F$3:F$169, "Y", 'Data - Taxa'!$B$3:$B$169, "Complex discoidal", 'Data - Taxa'!$AM$3:$AM$169, "Y")+COUNTIFS('Data - Taxa'!F$3:F$169, "Y", 'Data - Taxa'!$B$3:$B$169, "Complex discoidal", 'Data - Taxa'!$AN$3:$AN$169, "Y")</f>
        <v>1</v>
      </c>
      <c r="H6">
        <f>COUNTIFS('Data - Taxa'!F$3:F$169, "Y", 'Data - Taxa'!$B$3:$B$169, "Bilateralomorpha", 'Data - Taxa'!$AM$3:$AM$169, "Y")+COUNTIFS('Data - Taxa'!F$3:F$169, "Y", 'Data - Taxa'!$B$3:$B$169, "Bilateralomorpha", 'Data - Taxa'!$AN$3:$AN$169, "Y")</f>
        <v>1</v>
      </c>
      <c r="I6">
        <f>COUNTIFS('Data - Taxa'!F$3:F$169, "Y", 'Data - Taxa'!$B$3:$B$169, "Tubular", 'Data - Taxa'!$AM$3:$AM$169, "Y")+COUNTIFS('Data - Taxa'!F$3:F$169, "Y", 'Data - Taxa'!$B$3:$B$169, "Tubular", 'Data - Taxa'!$AN$3:$AN$169, "Y")</f>
        <v>1</v>
      </c>
      <c r="J6">
        <f>COUNTIFS('Data - Taxa'!F$3:F$169, "Y", 'Data - Taxa'!$AM$3:$AM$169, "Y") + COUNTIFS('Data - Taxa'!F$3:F$169, "Y", 'Data - Taxa'!$AM$3:$AM$169, "", 'Data - Taxa'!$AY$3:$AY$169, "Y")+COUNTIFS('Data - Taxa'!F$3:F$169, "Y", 'Data - Taxa'!$AN$3:$AN$169, "Y") + COUNTIFS('Data - Taxa'!F$3:F$169, "Y", 'Data - Taxa'!$AN$3:$AN$169, "", 'Data - Taxa'!$AY$3:$AY$169, "Y")</f>
        <v>6</v>
      </c>
      <c r="K6">
        <f>COUNTIFS('Data - Taxa'!F$3:F$169, "Y", 'Data - Taxa'!$AM$3:$AM$169, "Y")+COUNTIFS('Data - Taxa'!F$3:F$169, "Y", 'Data - Taxa'!$AN$3:$AN$169, "Y")</f>
        <v>3</v>
      </c>
    </row>
    <row r="7" spans="1:11" x14ac:dyDescent="0.35">
      <c r="A7" s="160" t="s">
        <v>464</v>
      </c>
      <c r="B7">
        <f>COUNTIFS('Data - Taxa'!G$3:G$169, "Y", 'Data - Taxa'!$B$3:$B$169, "Bilateralomorpha")</f>
        <v>0</v>
      </c>
      <c r="C7">
        <f>COUNTIFS('Data - Taxa'!G$3:G$169, "Y", 'Data - Taxa'!$B$3:$B$169, "Dickinsoniomorpha")</f>
        <v>0</v>
      </c>
      <c r="D7">
        <f>COUNTIFS('Data - Taxa'!G$3:G$169, "Y", 'Data - Taxa'!$B$3:$B$169, "Kimberellamorpha")</f>
        <v>0</v>
      </c>
      <c r="E7">
        <f>COUNTIFS('Data - Taxa'!G$3:G$169, "Y", 'Data - Taxa'!$AT$3:$AT$169, "Y")</f>
        <v>0</v>
      </c>
      <c r="F7" s="20">
        <f>COUNTIF('Data - Taxa'!G170, "Y")</f>
        <v>0</v>
      </c>
      <c r="G7">
        <f>COUNTIFS('Data - Taxa'!G$3:G$169, "Y", 'Data - Taxa'!$B$3:$B$169, "Complex discoidal", 'Data - Taxa'!$AM$3:$AM$169, "Y")+COUNTIFS('Data - Taxa'!G$3:G$169, "Y", 'Data - Taxa'!$B$3:$B$169, "Complex discoidal", 'Data - Taxa'!$AN$3:$AN$169, "Y")</f>
        <v>0</v>
      </c>
      <c r="H7">
        <f>COUNTIFS('Data - Taxa'!G$3:G$169, "Y", 'Data - Taxa'!$B$3:$B$169, "Bilateralomorpha", 'Data - Taxa'!$AM$3:$AM$169, "Y")+COUNTIFS('Data - Taxa'!G$3:G$169, "Y", 'Data - Taxa'!$B$3:$B$169, "Bilateralomorpha", 'Data - Taxa'!$AN$3:$AN$169, "Y")</f>
        <v>0</v>
      </c>
      <c r="I7">
        <f>COUNTIFS('Data - Taxa'!G$3:G$169, "Y", 'Data - Taxa'!$B$3:$B$169, "Tubular", 'Data - Taxa'!$AM$3:$AM$169, "Y")+COUNTIFS('Data - Taxa'!G$3:G$169, "Y", 'Data - Taxa'!$B$3:$B$169, "Tubular", 'Data - Taxa'!$AN$3:$AN$169, "Y")</f>
        <v>2</v>
      </c>
      <c r="J7">
        <f>COUNTIFS('Data - Taxa'!G$3:G$169, "Y", 'Data - Taxa'!$AM$3:$AM$169, "Y") + COUNTIFS('Data - Taxa'!G$3:G$169, "Y", 'Data - Taxa'!$AM$3:$AM$169, "", 'Data - Taxa'!$AY$3:$AY$169, "Y")+COUNTIFS('Data - Taxa'!G$3:G$169, "Y", 'Data - Taxa'!$AN$3:$AN$169, "Y") + COUNTIFS('Data - Taxa'!G$3:G$169, "Y", 'Data - Taxa'!$AN$3:$AN$169, "", 'Data - Taxa'!$AY$3:$AY$169, "Y")</f>
        <v>8</v>
      </c>
      <c r="K7">
        <f>COUNTIFS('Data - Taxa'!G$3:G$169, "Y", 'Data - Taxa'!$AM$3:$AM$169, "Y")+COUNTIFS('Data - Taxa'!G$3:G$169, "Y", 'Data - Taxa'!$AN$3:$AN$169, "Y")</f>
        <v>2</v>
      </c>
    </row>
    <row r="8" spans="1:11" x14ac:dyDescent="0.35">
      <c r="A8" s="160" t="s">
        <v>465</v>
      </c>
      <c r="B8">
        <f>COUNTIFS('Data - Taxa'!H$3:H$169, "Y", 'Data - Taxa'!$B$3:$B$169, "Bilateralomorpha")</f>
        <v>6</v>
      </c>
      <c r="C8">
        <f>COUNTIFS('Data - Taxa'!H$3:H$169, "Y", 'Data - Taxa'!$B$3:$B$169, "Dickinsoniomorpha")</f>
        <v>3</v>
      </c>
      <c r="D8">
        <f>COUNTIFS('Data - Taxa'!H$3:H$169, "Y", 'Data - Taxa'!$B$3:$B$169, "Kimberellamorpha")</f>
        <v>1</v>
      </c>
      <c r="E8">
        <f>COUNTIFS('Data - Taxa'!H$3:H$169, "Y", 'Data - Taxa'!$AT$3:$AT$169, "Y")</f>
        <v>10</v>
      </c>
      <c r="F8" s="20">
        <f>COUNTIF('Data - Taxa'!H170, "Y")</f>
        <v>1</v>
      </c>
      <c r="G8">
        <f>COUNTIFS('Data - Taxa'!H$3:H$169, "Y", 'Data - Taxa'!$B$3:$B$169, "Complex discoidal", 'Data - Taxa'!$AM$3:$AM$169, "Y")+COUNTIFS('Data - Taxa'!H$3:H$169, "Y", 'Data - Taxa'!$B$3:$B$169, "Complex discoidal", 'Data - Taxa'!$AN$3:$AN$169, "Y")</f>
        <v>0</v>
      </c>
      <c r="H8">
        <f>COUNTIFS('Data - Taxa'!H$3:H$169, "Y", 'Data - Taxa'!$B$3:$B$169, "Bilateralomorpha", 'Data - Taxa'!$AM$3:$AM$169, "Y")+COUNTIFS('Data - Taxa'!H$3:H$169, "Y", 'Data - Taxa'!$B$3:$B$169, "Bilateralomorpha", 'Data - Taxa'!$AN$3:$AN$169, "Y")</f>
        <v>0</v>
      </c>
      <c r="I8">
        <f>COUNTIFS('Data - Taxa'!H$3:H$169, "Y", 'Data - Taxa'!$B$3:$B$169, "Tubular", 'Data - Taxa'!$AM$3:$AM$169, "Y")+COUNTIFS('Data - Taxa'!H$3:H$169, "Y", 'Data - Taxa'!$B$3:$B$169, "Tubular", 'Data - Taxa'!$AN$3:$AN$169, "Y")</f>
        <v>0</v>
      </c>
      <c r="J8">
        <f>COUNTIFS('Data - Taxa'!H$3:H$169, "Y", 'Data - Taxa'!$AM$3:$AM$169, "Y") + COUNTIFS('Data - Taxa'!H$3:H$169, "Y", 'Data - Taxa'!$AM$3:$AM$169, "", 'Data - Taxa'!$AY$3:$AY$169, "Y")+COUNTIFS('Data - Taxa'!H$3:H$169, "Y", 'Data - Taxa'!$AN$3:$AN$169, "Y") + COUNTIFS('Data - Taxa'!H$3:H$169, "Y", 'Data - Taxa'!$AN$3:$AN$169, "", 'Data - Taxa'!$AY$3:$AY$169, "Y")</f>
        <v>8</v>
      </c>
      <c r="K8">
        <f>COUNTIFS('Data - Taxa'!H$3:H$169, "Y", 'Data - Taxa'!$AM$3:$AM$169, "Y")+COUNTIFS('Data - Taxa'!H$3:H$169, "Y", 'Data - Taxa'!$AN$3:$AN$169, "Y")</f>
        <v>0</v>
      </c>
    </row>
    <row r="9" spans="1:11" x14ac:dyDescent="0.35">
      <c r="A9" s="160" t="s">
        <v>466</v>
      </c>
      <c r="B9">
        <f>COUNTIFS('Data - Taxa'!I$3:I$169, "Y", 'Data - Taxa'!$B$3:$B$169, "Bilateralomorpha")</f>
        <v>0</v>
      </c>
      <c r="C9">
        <f>COUNTIFS('Data - Taxa'!I$3:I$169, "Y", 'Data - Taxa'!$B$3:$B$169, "Dickinsoniomorpha")</f>
        <v>0</v>
      </c>
      <c r="D9">
        <f>COUNTIFS('Data - Taxa'!I$3:I$169, "Y", 'Data - Taxa'!$B$3:$B$169, "Kimberellamorpha")</f>
        <v>0</v>
      </c>
      <c r="E9">
        <f>COUNTIFS('Data - Taxa'!I$3:I$169, "Y", 'Data - Taxa'!$AT$3:$AT$169, "Y")</f>
        <v>0</v>
      </c>
      <c r="F9" s="20">
        <f>COUNTIF('Data - Taxa'!I170, "Y")</f>
        <v>0</v>
      </c>
      <c r="G9">
        <f>COUNTIFS('Data - Taxa'!I$3:I$169, "Y", 'Data - Taxa'!$B$3:$B$169, "Complex discoidal", 'Data - Taxa'!$AM$3:$AM$169, "Y")+COUNTIFS('Data - Taxa'!I$3:I$169, "Y", 'Data - Taxa'!$B$3:$B$169, "Complex discoidal", 'Data - Taxa'!$AN$3:$AN$169, "Y")</f>
        <v>0</v>
      </c>
      <c r="H9">
        <f>COUNTIFS('Data - Taxa'!I$3:I$169, "Y", 'Data - Taxa'!$B$3:$B$169, "Bilateralomorpha", 'Data - Taxa'!$AM$3:$AM$169, "Y")+COUNTIFS('Data - Taxa'!I$3:I$169, "Y", 'Data - Taxa'!$B$3:$B$169, "Bilateralomorpha", 'Data - Taxa'!$AN$3:$AN$169, "Y")</f>
        <v>0</v>
      </c>
      <c r="I9">
        <f>COUNTIFS('Data - Taxa'!I$3:I$169, "Y", 'Data - Taxa'!$B$3:$B$169, "Tubular", 'Data - Taxa'!$AM$3:$AM$169, "Y")+COUNTIFS('Data - Taxa'!I$3:I$169, "Y", 'Data - Taxa'!$B$3:$B$169, "Tubular", 'Data - Taxa'!$AN$3:$AN$169, "Y")</f>
        <v>0</v>
      </c>
      <c r="J9">
        <f>COUNTIFS('Data - Taxa'!I$3:I$169, "Y", 'Data - Taxa'!$AM$3:$AM$169, "Y") + COUNTIFS('Data - Taxa'!I$3:I$169, "Y", 'Data - Taxa'!$AM$3:$AM$169, "", 'Data - Taxa'!$AY$3:$AY$169, "Y")+COUNTIFS('Data - Taxa'!I$3:I$169, "Y", 'Data - Taxa'!$AN$3:$AN$169, "Y") + COUNTIFS('Data - Taxa'!I$3:I$169, "Y", 'Data - Taxa'!$AN$3:$AN$169, "", 'Data - Taxa'!$AY$3:$AY$169, "Y")</f>
        <v>0</v>
      </c>
      <c r="K9">
        <f>COUNTIFS('Data - Taxa'!I$3:I$169, "Y", 'Data - Taxa'!$AM$3:$AM$169, "Y")+COUNTIFS('Data - Taxa'!I$3:I$169, "Y", 'Data - Taxa'!$AN$3:$AN$169, "Y")</f>
        <v>0</v>
      </c>
    </row>
    <row r="10" spans="1:11" x14ac:dyDescent="0.35">
      <c r="A10" s="161" t="s">
        <v>467</v>
      </c>
      <c r="B10">
        <f>COUNTIFS('Data - Taxa'!J$3:J$169, "Y", 'Data - Taxa'!$B$3:$B$169, "Bilateralomorpha")</f>
        <v>0</v>
      </c>
      <c r="C10">
        <f>COUNTIFS('Data - Taxa'!J$3:J$169, "Y", 'Data - Taxa'!$B$3:$B$169, "Dickinsoniomorpha")</f>
        <v>0</v>
      </c>
      <c r="D10">
        <f>COUNTIFS('Data - Taxa'!J$3:J$169, "Y", 'Data - Taxa'!$B$3:$B$169, "Kimberellamorpha")</f>
        <v>0</v>
      </c>
      <c r="E10">
        <f>COUNTIFS('Data - Taxa'!J$3:J$169, "Y", 'Data - Taxa'!$AT$3:$AT$169, "Y")</f>
        <v>0</v>
      </c>
      <c r="F10" s="20">
        <f>COUNTIF('Data - Taxa'!J170, "Y")</f>
        <v>0</v>
      </c>
      <c r="G10">
        <f>COUNTIFS('Data - Taxa'!J$3:J$169, "Y", 'Data - Taxa'!$B$3:$B$169, "Complex discoidal", 'Data - Taxa'!$AM$3:$AM$169, "Y")+COUNTIFS('Data - Taxa'!J$3:J$169, "Y", 'Data - Taxa'!$B$3:$B$169, "Complex discoidal", 'Data - Taxa'!$AN$3:$AN$169, "Y")</f>
        <v>0</v>
      </c>
      <c r="H10">
        <f>COUNTIFS('Data - Taxa'!J$3:J$169, "Y", 'Data - Taxa'!$B$3:$B$169, "Bilateralomorpha", 'Data - Taxa'!$AM$3:$AM$169, "Y")+COUNTIFS('Data - Taxa'!J$3:J$169, "Y", 'Data - Taxa'!$B$3:$B$169, "Bilateralomorpha", 'Data - Taxa'!$AN$3:$AN$169, "Y")</f>
        <v>0</v>
      </c>
      <c r="I10">
        <f>COUNTIFS('Data - Taxa'!J$3:J$169, "Y", 'Data - Taxa'!$B$3:$B$169, "Tubular", 'Data - Taxa'!$AM$3:$AM$169, "Y")+COUNTIFS('Data - Taxa'!J$3:J$169, "Y", 'Data - Taxa'!$B$3:$B$169, "Tubular", 'Data - Taxa'!$AN$3:$AN$169, "Y")</f>
        <v>0</v>
      </c>
      <c r="J10">
        <f>COUNTIFS('Data - Taxa'!J$3:J$169, "Y", 'Data - Taxa'!$AM$3:$AM$169, "Y") + COUNTIFS('Data - Taxa'!J$3:J$169, "Y", 'Data - Taxa'!$AM$3:$AM$169, "", 'Data - Taxa'!$AY$3:$AY$169, "Y")+COUNTIFS('Data - Taxa'!J$3:J$169, "Y", 'Data - Taxa'!$AN$3:$AN$169, "Y") + COUNTIFS('Data - Taxa'!J$3:J$169, "Y", 'Data - Taxa'!$AN$3:$AN$169, "", 'Data - Taxa'!$AY$3:$AY$169, "Y")</f>
        <v>0</v>
      </c>
      <c r="K10">
        <f>COUNTIFS('Data - Taxa'!J$3:J$169, "Y", 'Data - Taxa'!$AM$3:$AM$169, "Y")+COUNTIFS('Data - Taxa'!J$3:J$169, "Y", 'Data - Taxa'!$AN$3:$AN$169, "Y")</f>
        <v>0</v>
      </c>
    </row>
    <row r="11" spans="1:11" x14ac:dyDescent="0.35">
      <c r="A11" s="160" t="s">
        <v>544</v>
      </c>
      <c r="B11">
        <f>COUNTIFS('Data - Taxa'!K$3:K$169, "Y", 'Data - Taxa'!$B$3:$B$169, "Bilateralomorpha")</f>
        <v>0</v>
      </c>
      <c r="C11">
        <f>COUNTIFS('Data - Taxa'!K$3:K$169, "Y", 'Data - Taxa'!$B$3:$B$169, "Dickinsoniomorpha")</f>
        <v>0</v>
      </c>
      <c r="D11">
        <f>COUNTIFS('Data - Taxa'!K$3:K$169, "Y", 'Data - Taxa'!$B$3:$B$169, "Kimberellamorpha")</f>
        <v>0</v>
      </c>
      <c r="E11">
        <f>COUNTIFS('Data - Taxa'!K$3:K$169, "Y", 'Data - Taxa'!$AT$3:$AT$169, "Y")</f>
        <v>0</v>
      </c>
      <c r="F11" s="20">
        <f>COUNTIF('Data - Taxa'!K170, "Y")</f>
        <v>0</v>
      </c>
      <c r="G11">
        <f>COUNTIFS('Data - Taxa'!K$3:K$169, "Y", 'Data - Taxa'!$B$3:$B$169, "Complex discoidal", 'Data - Taxa'!$AM$3:$AM$169, "Y")+COUNTIFS('Data - Taxa'!K$3:K$169, "Y", 'Data - Taxa'!$B$3:$B$169, "Complex discoidal", 'Data - Taxa'!$AN$3:$AN$169, "Y")</f>
        <v>0</v>
      </c>
      <c r="H11">
        <f>COUNTIFS('Data - Taxa'!K$3:K$169, "Y", 'Data - Taxa'!$B$3:$B$169, "Bilateralomorpha", 'Data - Taxa'!$AM$3:$AM$169, "Y")+COUNTIFS('Data - Taxa'!K$3:K$169, "Y", 'Data - Taxa'!$B$3:$B$169, "Bilateralomorpha", 'Data - Taxa'!$AN$3:$AN$169, "Y")</f>
        <v>0</v>
      </c>
      <c r="I11">
        <f>COUNTIFS('Data - Taxa'!K$3:K$169, "Y", 'Data - Taxa'!$B$3:$B$169, "Tubular", 'Data - Taxa'!$AM$3:$AM$169, "Y")+COUNTIFS('Data - Taxa'!K$3:K$169, "Y", 'Data - Taxa'!$B$3:$B$169, "Tubular", 'Data - Taxa'!$AN$3:$AN$169, "Y")</f>
        <v>0</v>
      </c>
      <c r="J11">
        <f>COUNTIFS('Data - Taxa'!K$3:K$169, "Y", 'Data - Taxa'!$AM$3:$AM$169, "Y") + COUNTIFS('Data - Taxa'!K$3:K$169, "Y", 'Data - Taxa'!$AM$3:$AM$169, "", 'Data - Taxa'!$AY$3:$AY$169, "Y")+COUNTIFS('Data - Taxa'!K$3:K$169, "Y", 'Data - Taxa'!$AN$3:$AN$169, "Y") + COUNTIFS('Data - Taxa'!K$3:K$169, "Y", 'Data - Taxa'!$AN$3:$AN$169, "", 'Data - Taxa'!$AY$3:$AY$169, "Y")</f>
        <v>0</v>
      </c>
      <c r="K11">
        <f>COUNTIFS('Data - Taxa'!K$3:K$169, "Y", 'Data - Taxa'!$AM$3:$AM$169, "Y")+COUNTIFS('Data - Taxa'!K$3:K$169, "Y", 'Data - Taxa'!$AN$3:$AN$169, "Y")</f>
        <v>0</v>
      </c>
    </row>
    <row r="12" spans="1:11" x14ac:dyDescent="0.35">
      <c r="A12" s="160" t="s">
        <v>468</v>
      </c>
      <c r="B12">
        <f>COUNTIFS('Data - Taxa'!L$3:L$169, "Y", 'Data - Taxa'!$B$3:$B$169, "Bilateralomorpha")</f>
        <v>0</v>
      </c>
      <c r="C12">
        <f>COUNTIFS('Data - Taxa'!L$3:L$169, "Y", 'Data - Taxa'!$B$3:$B$169, "Dickinsoniomorpha")</f>
        <v>2</v>
      </c>
      <c r="D12">
        <f>COUNTIFS('Data - Taxa'!L$3:L$169, "Y", 'Data - Taxa'!$B$3:$B$169, "Kimberellamorpha")</f>
        <v>1</v>
      </c>
      <c r="E12">
        <f>COUNTIFS('Data - Taxa'!L$3:L$169, "Y", 'Data - Taxa'!$AT$3:$AT$169, "Y")</f>
        <v>3</v>
      </c>
      <c r="F12" s="20">
        <f>COUNTIF('Data - Taxa'!L170, "Y")</f>
        <v>1</v>
      </c>
      <c r="G12">
        <f>COUNTIFS('Data - Taxa'!L$3:L$169, "Y", 'Data - Taxa'!$B$3:$B$169, "Complex discoidal", 'Data - Taxa'!$AM$3:$AM$169, "Y")+COUNTIFS('Data - Taxa'!L$3:L$169, "Y", 'Data - Taxa'!$B$3:$B$169, "Complex discoidal", 'Data - Taxa'!$AN$3:$AN$169, "Y")</f>
        <v>0</v>
      </c>
      <c r="H12">
        <f>COUNTIFS('Data - Taxa'!L$3:L$169, "Y", 'Data - Taxa'!$B$3:$B$169, "Bilateralomorpha", 'Data - Taxa'!$AM$3:$AM$169, "Y")+COUNTIFS('Data - Taxa'!L$3:L$169, "Y", 'Data - Taxa'!$B$3:$B$169, "Bilateralomorpha", 'Data - Taxa'!$AN$3:$AN$169, "Y")</f>
        <v>0</v>
      </c>
      <c r="I12">
        <f>COUNTIFS('Data - Taxa'!L$3:L$169, "Y", 'Data - Taxa'!$B$3:$B$169, "Tubular", 'Data - Taxa'!$AM$3:$AM$169, "Y")+COUNTIFS('Data - Taxa'!L$3:L$169, "Y", 'Data - Taxa'!$B$3:$B$169, "Tubular", 'Data - Taxa'!$AN$3:$AN$169, "Y")</f>
        <v>0</v>
      </c>
      <c r="J12">
        <f>COUNTIFS('Data - Taxa'!L$3:L$169, "Y", 'Data - Taxa'!$AM$3:$AM$169, "Y") + COUNTIFS('Data - Taxa'!L$3:L$169, "Y", 'Data - Taxa'!$AM$3:$AM$169, "", 'Data - Taxa'!$AY$3:$AY$169, "Y")+COUNTIFS('Data - Taxa'!L$3:L$169, "Y", 'Data - Taxa'!$AN$3:$AN$169, "Y") + COUNTIFS('Data - Taxa'!L$3:L$169, "Y", 'Data - Taxa'!$AN$3:$AN$169, "", 'Data - Taxa'!$AY$3:$AY$169, "Y")</f>
        <v>2</v>
      </c>
      <c r="K12">
        <f>COUNTIFS('Data - Taxa'!L$3:L$169, "Y", 'Data - Taxa'!$AM$3:$AM$169, "Y")+COUNTIFS('Data - Taxa'!L$3:L$169, "Y", 'Data - Taxa'!$AN$3:$AN$169, "Y")</f>
        <v>0</v>
      </c>
    </row>
    <row r="13" spans="1:11" x14ac:dyDescent="0.35">
      <c r="A13" s="160" t="s">
        <v>469</v>
      </c>
      <c r="B13">
        <f>COUNTIFS('Data - Taxa'!M$3:M$169, "Y", 'Data - Taxa'!$B$3:$B$169, "Bilateralomorpha")</f>
        <v>0</v>
      </c>
      <c r="C13">
        <f>COUNTIFS('Data - Taxa'!M$3:M$169, "Y", 'Data - Taxa'!$B$3:$B$169, "Dickinsoniomorpha")</f>
        <v>1</v>
      </c>
      <c r="D13">
        <f>COUNTIFS('Data - Taxa'!M$3:M$169, "Y", 'Data - Taxa'!$B$3:$B$169, "Kimberellamorpha")</f>
        <v>0</v>
      </c>
      <c r="E13">
        <f>COUNTIFS('Data - Taxa'!M$3:M$169, "Y", 'Data - Taxa'!$AT$3:$AT$169, "Y")</f>
        <v>1</v>
      </c>
      <c r="F13" s="20">
        <f>COUNTIF('Data - Taxa'!M170, "Y")</f>
        <v>1</v>
      </c>
      <c r="G13">
        <f>COUNTIFS('Data - Taxa'!M$3:M$169, "Y", 'Data - Taxa'!$B$3:$B$169, "Complex discoidal", 'Data - Taxa'!$AM$3:$AM$169, "Y")+COUNTIFS('Data - Taxa'!M$3:M$169, "Y", 'Data - Taxa'!$B$3:$B$169, "Complex discoidal", 'Data - Taxa'!$AN$3:$AN$169, "Y")</f>
        <v>0</v>
      </c>
      <c r="H13">
        <f>COUNTIFS('Data - Taxa'!M$3:M$169, "Y", 'Data - Taxa'!$B$3:$B$169, "Bilateralomorpha", 'Data - Taxa'!$AM$3:$AM$169, "Y")+COUNTIFS('Data - Taxa'!M$3:M$169, "Y", 'Data - Taxa'!$B$3:$B$169, "Bilateralomorpha", 'Data - Taxa'!$AN$3:$AN$169, "Y")</f>
        <v>0</v>
      </c>
      <c r="I13">
        <f>COUNTIFS('Data - Taxa'!M$3:M$169, "Y", 'Data - Taxa'!$B$3:$B$169, "Tubular", 'Data - Taxa'!$AM$3:$AM$169, "Y")+COUNTIFS('Data - Taxa'!M$3:M$169, "Y", 'Data - Taxa'!$B$3:$B$169, "Tubular", 'Data - Taxa'!$AN$3:$AN$169, "Y")</f>
        <v>0</v>
      </c>
      <c r="J13">
        <f>COUNTIFS('Data - Taxa'!M$3:M$169, "Y", 'Data - Taxa'!$AM$3:$AM$169, "Y") + COUNTIFS('Data - Taxa'!M$3:M$169, "Y", 'Data - Taxa'!$AM$3:$AM$169, "", 'Data - Taxa'!$AY$3:$AY$169, "Y")+COUNTIFS('Data - Taxa'!M$3:M$169, "Y", 'Data - Taxa'!$AN$3:$AN$169, "Y") + COUNTIFS('Data - Taxa'!M$3:M$169, "Y", 'Data - Taxa'!$AN$3:$AN$169, "", 'Data - Taxa'!$AY$3:$AY$169, "Y")</f>
        <v>4</v>
      </c>
      <c r="K13">
        <f>COUNTIFS('Data - Taxa'!M$3:M$169, "Y", 'Data - Taxa'!$AM$3:$AM$169, "Y")+COUNTIFS('Data - Taxa'!M$3:M$169, "Y", 'Data - Taxa'!$AN$3:$AN$169, "Y")</f>
        <v>0</v>
      </c>
    </row>
    <row r="14" spans="1:11" x14ac:dyDescent="0.35">
      <c r="A14" s="160" t="s">
        <v>470</v>
      </c>
      <c r="B14">
        <f>COUNTIFS('Data - Taxa'!N$3:N$169, "Y", 'Data - Taxa'!$B$3:$B$169, "Bilateralomorpha")</f>
        <v>0</v>
      </c>
      <c r="C14">
        <f>COUNTIFS('Data - Taxa'!N$3:N$169, "Y", 'Data - Taxa'!$B$3:$B$169, "Dickinsoniomorpha")</f>
        <v>0</v>
      </c>
      <c r="D14">
        <f>COUNTIFS('Data - Taxa'!N$3:N$169, "Y", 'Data - Taxa'!$B$3:$B$169, "Kimberellamorpha")</f>
        <v>0</v>
      </c>
      <c r="E14">
        <f>COUNTIFS('Data - Taxa'!N$3:N$169, "Y", 'Data - Taxa'!$AT$3:$AT$169, "Y")</f>
        <v>0</v>
      </c>
      <c r="F14" s="20">
        <f>COUNTIF('Data - Taxa'!N170, "Y")</f>
        <v>0</v>
      </c>
      <c r="G14">
        <f>COUNTIFS('Data - Taxa'!N$3:N$169, "Y", 'Data - Taxa'!$B$3:$B$169, "Complex discoidal", 'Data - Taxa'!$AM$3:$AM$169, "Y")+COUNTIFS('Data - Taxa'!N$3:N$169, "Y", 'Data - Taxa'!$B$3:$B$169, "Complex discoidal", 'Data - Taxa'!$AN$3:$AN$169, "Y")</f>
        <v>0</v>
      </c>
      <c r="H14">
        <f>COUNTIFS('Data - Taxa'!N$3:N$169, "Y", 'Data - Taxa'!$B$3:$B$169, "Bilateralomorpha", 'Data - Taxa'!$AM$3:$AM$169, "Y")+COUNTIFS('Data - Taxa'!N$3:N$169, "Y", 'Data - Taxa'!$B$3:$B$169, "Bilateralomorpha", 'Data - Taxa'!$AN$3:$AN$169, "Y")</f>
        <v>0</v>
      </c>
      <c r="I14">
        <f>COUNTIFS('Data - Taxa'!N$3:N$169, "Y", 'Data - Taxa'!$B$3:$B$169, "Tubular", 'Data - Taxa'!$AM$3:$AM$169, "Y")+COUNTIFS('Data - Taxa'!N$3:N$169, "Y", 'Data - Taxa'!$B$3:$B$169, "Tubular", 'Data - Taxa'!$AN$3:$AN$169, "Y")</f>
        <v>0</v>
      </c>
      <c r="J14">
        <f>COUNTIFS('Data - Taxa'!N$3:N$169, "Y", 'Data - Taxa'!$AM$3:$AM$169, "Y") + COUNTIFS('Data - Taxa'!N$3:N$169, "Y", 'Data - Taxa'!$AM$3:$AM$169, "", 'Data - Taxa'!$AY$3:$AY$169, "Y")+COUNTIFS('Data - Taxa'!N$3:N$169, "Y", 'Data - Taxa'!$AN$3:$AN$169, "Y") + COUNTIFS('Data - Taxa'!N$3:N$169, "Y", 'Data - Taxa'!$AN$3:$AN$169, "", 'Data - Taxa'!$AY$3:$AY$169, "Y")</f>
        <v>0</v>
      </c>
      <c r="K14">
        <f>COUNTIFS('Data - Taxa'!N$3:N$169, "Y", 'Data - Taxa'!$AM$3:$AM$169, "Y")+COUNTIFS('Data - Taxa'!N$3:N$169, "Y", 'Data - Taxa'!$AN$3:$AN$169, "Y")</f>
        <v>0</v>
      </c>
    </row>
    <row r="15" spans="1:11" x14ac:dyDescent="0.35">
      <c r="A15" s="160" t="s">
        <v>471</v>
      </c>
      <c r="B15">
        <f>COUNTIFS('Data - Taxa'!O$3:O$169, "Y", 'Data - Taxa'!$B$3:$B$169, "Bilateralomorpha")</f>
        <v>1</v>
      </c>
      <c r="C15">
        <f>COUNTIFS('Data - Taxa'!O$3:O$169, "Y", 'Data - Taxa'!$B$3:$B$169, "Dickinsoniomorpha")</f>
        <v>0</v>
      </c>
      <c r="D15">
        <f>COUNTIFS('Data - Taxa'!O$3:O$169, "Y", 'Data - Taxa'!$B$3:$B$169, "Kimberellamorpha")</f>
        <v>0</v>
      </c>
      <c r="E15">
        <f>COUNTIFS('Data - Taxa'!O$3:O$169, "Y", 'Data - Taxa'!$AT$3:$AT$169, "Y")</f>
        <v>1</v>
      </c>
      <c r="F15" s="20">
        <f>COUNTIF('Data - Taxa'!O170, "Y")</f>
        <v>1</v>
      </c>
      <c r="G15">
        <f>COUNTIFS('Data - Taxa'!O$3:O$169, "Y", 'Data - Taxa'!$B$3:$B$169, "Complex discoidal", 'Data - Taxa'!$AM$3:$AM$169, "Y")+COUNTIFS('Data - Taxa'!O$3:O$169, "Y", 'Data - Taxa'!$B$3:$B$169, "Complex discoidal", 'Data - Taxa'!$AN$3:$AN$169, "Y")</f>
        <v>0</v>
      </c>
      <c r="H15">
        <f>COUNTIFS('Data - Taxa'!O$3:O$169, "Y", 'Data - Taxa'!$B$3:$B$169, "Bilateralomorpha", 'Data - Taxa'!$AM$3:$AM$169, "Y")+COUNTIFS('Data - Taxa'!O$3:O$169, "Y", 'Data - Taxa'!$B$3:$B$169, "Bilateralomorpha", 'Data - Taxa'!$AN$3:$AN$169, "Y")</f>
        <v>1</v>
      </c>
      <c r="I15">
        <f>COUNTIFS('Data - Taxa'!O$3:O$169, "Y", 'Data - Taxa'!$B$3:$B$169, "Tubular", 'Data - Taxa'!$AM$3:$AM$169, "Y")+COUNTIFS('Data - Taxa'!O$3:O$169, "Y", 'Data - Taxa'!$B$3:$B$169, "Tubular", 'Data - Taxa'!$AN$3:$AN$169, "Y")</f>
        <v>1</v>
      </c>
      <c r="J15">
        <f>COUNTIFS('Data - Taxa'!O$3:O$169, "Y", 'Data - Taxa'!$AM$3:$AM$169, "Y") + COUNTIFS('Data - Taxa'!O$3:O$169, "Y", 'Data - Taxa'!$AM$3:$AM$169, "", 'Data - Taxa'!$AY$3:$AY$169, "Y")+COUNTIFS('Data - Taxa'!O$3:O$169, "Y", 'Data - Taxa'!$AN$3:$AN$169, "Y") + COUNTIFS('Data - Taxa'!O$3:O$169, "Y", 'Data - Taxa'!$AN$3:$AN$169, "", 'Data - Taxa'!$AY$3:$AY$169, "Y")</f>
        <v>3</v>
      </c>
      <c r="K15">
        <f>COUNTIFS('Data - Taxa'!O$3:O$169, "Y", 'Data - Taxa'!$AM$3:$AM$169, "Y")+COUNTIFS('Data - Taxa'!O$3:O$169, "Y", 'Data - Taxa'!$AN$3:$AN$169, "Y")</f>
        <v>2</v>
      </c>
    </row>
    <row r="16" spans="1:11" x14ac:dyDescent="0.35">
      <c r="A16" s="160" t="s">
        <v>472</v>
      </c>
      <c r="B16">
        <f>COUNTIFS('Data - Taxa'!P$3:P$169, "Y", 'Data - Taxa'!$B$3:$B$169, "Bilateralomorpha")</f>
        <v>0</v>
      </c>
      <c r="C16">
        <f>COUNTIFS('Data - Taxa'!P$3:P$169, "Y", 'Data - Taxa'!$B$3:$B$169, "Dickinsoniomorpha")</f>
        <v>0</v>
      </c>
      <c r="D16">
        <f>COUNTIFS('Data - Taxa'!P$3:P$169, "Y", 'Data - Taxa'!$B$3:$B$169, "Kimberellamorpha")</f>
        <v>0</v>
      </c>
      <c r="E16">
        <f>COUNTIFS('Data - Taxa'!P$3:P$169, "Y", 'Data - Taxa'!$AT$3:$AT$169, "Y")</f>
        <v>0</v>
      </c>
      <c r="F16" s="20">
        <f>COUNTIF('Data - Taxa'!P170, "Y")</f>
        <v>0</v>
      </c>
      <c r="G16">
        <f>COUNTIFS('Data - Taxa'!P$3:P$169, "Y", 'Data - Taxa'!$B$3:$B$169, "Complex discoidal", 'Data - Taxa'!$AM$3:$AM$169, "Y")+COUNTIFS('Data - Taxa'!P$3:P$169, "Y", 'Data - Taxa'!$B$3:$B$169, "Complex discoidal", 'Data - Taxa'!$AN$3:$AN$169, "Y")</f>
        <v>0</v>
      </c>
      <c r="H16">
        <f>COUNTIFS('Data - Taxa'!P$3:P$169, "Y", 'Data - Taxa'!$B$3:$B$169, "Bilateralomorpha", 'Data - Taxa'!$AM$3:$AM$169, "Y")+COUNTIFS('Data - Taxa'!P$3:P$169, "Y", 'Data - Taxa'!$B$3:$B$169, "Bilateralomorpha", 'Data - Taxa'!$AN$3:$AN$169, "Y")</f>
        <v>0</v>
      </c>
      <c r="I16">
        <f>COUNTIFS('Data - Taxa'!P$3:P$169, "Y", 'Data - Taxa'!$B$3:$B$169, "Tubular", 'Data - Taxa'!$AM$3:$AM$169, "Y")+COUNTIFS('Data - Taxa'!P$3:P$169, "Y", 'Data - Taxa'!$B$3:$B$169, "Tubular", 'Data - Taxa'!$AN$3:$AN$169, "Y")</f>
        <v>0</v>
      </c>
      <c r="J16">
        <f>COUNTIFS('Data - Taxa'!P$3:P$169, "Y", 'Data - Taxa'!$AM$3:$AM$169, "Y") + COUNTIFS('Data - Taxa'!P$3:P$169, "Y", 'Data - Taxa'!$AM$3:$AM$169, "", 'Data - Taxa'!$AY$3:$AY$169, "Y")+COUNTIFS('Data - Taxa'!P$3:P$169, "Y", 'Data - Taxa'!$AN$3:$AN$169, "Y") + COUNTIFS('Data - Taxa'!P$3:P$169, "Y", 'Data - Taxa'!$AN$3:$AN$169, "", 'Data - Taxa'!$AY$3:$AY$169, "Y")</f>
        <v>0</v>
      </c>
      <c r="K16">
        <f>COUNTIFS('Data - Taxa'!P$3:P$169, "Y", 'Data - Taxa'!$AM$3:$AM$169, "Y")+COUNTIFS('Data - Taxa'!P$3:P$169, "Y", 'Data - Taxa'!$AN$3:$AN$169, "Y")</f>
        <v>0</v>
      </c>
    </row>
    <row r="17" spans="1:13" x14ac:dyDescent="0.35">
      <c r="A17" s="160" t="s">
        <v>489</v>
      </c>
      <c r="B17">
        <f>COUNTIFS('Data - Taxa'!Q$3:Q$169, "Y", 'Data - Taxa'!$B$3:$B$169, "Bilateralomorpha")</f>
        <v>0</v>
      </c>
      <c r="C17">
        <f>COUNTIFS('Data - Taxa'!Q$3:Q$169, "Y", 'Data - Taxa'!$B$3:$B$169, "Dickinsoniomorpha")</f>
        <v>0</v>
      </c>
      <c r="D17">
        <f>COUNTIFS('Data - Taxa'!Q$3:Q$169, "Y", 'Data - Taxa'!$B$3:$B$169, "Kimberellamorpha")</f>
        <v>0</v>
      </c>
      <c r="E17">
        <f>COUNTIFS('Data - Taxa'!Q$3:Q$169, "Y", 'Data - Taxa'!$AT$3:$AT$169, "Y")</f>
        <v>0</v>
      </c>
      <c r="F17" s="20">
        <f>COUNTIF('Data - Taxa'!Q170, "Y")</f>
        <v>1</v>
      </c>
      <c r="G17">
        <f>COUNTIFS('Data - Taxa'!Q$3:Q$169, "Y", 'Data - Taxa'!$B$3:$B$169, "Complex discoidal", 'Data - Taxa'!$AM$3:$AM$169, "Y")+COUNTIFS('Data - Taxa'!Q$3:Q$169, "Y", 'Data - Taxa'!$B$3:$B$169, "Complex discoidal", 'Data - Taxa'!$AN$3:$AN$169, "Y")</f>
        <v>0</v>
      </c>
      <c r="H17">
        <f>COUNTIFS('Data - Taxa'!Q$3:Q$169, "Y", 'Data - Taxa'!$B$3:$B$169, "Bilateralomorpha", 'Data - Taxa'!$AM$3:$AM$169, "Y")+COUNTIFS('Data - Taxa'!Q$3:Q$169, "Y", 'Data - Taxa'!$B$3:$B$169, "Bilateralomorpha", 'Data - Taxa'!$AN$3:$AN$169, "Y")</f>
        <v>0</v>
      </c>
      <c r="I17">
        <f>COUNTIFS('Data - Taxa'!Q$3:Q$169, "Y", 'Data - Taxa'!$B$3:$B$169, "Tubular", 'Data - Taxa'!$AM$3:$AM$169, "Y")+COUNTIFS('Data - Taxa'!Q$3:Q$169, "Y", 'Data - Taxa'!$B$3:$B$169, "Tubular", 'Data - Taxa'!$AN$3:$AN$169, "Y")</f>
        <v>1</v>
      </c>
      <c r="J17">
        <f>COUNTIFS('Data - Taxa'!Q$3:Q$169, "Y", 'Data - Taxa'!$AM$3:$AM$169, "Y") + COUNTIFS('Data - Taxa'!Q$3:Q$169, "Y", 'Data - Taxa'!$AM$3:$AM$169, "", 'Data - Taxa'!$AY$3:$AY$169, "Y")+COUNTIFS('Data - Taxa'!Q$3:Q$169, "Y", 'Data - Taxa'!$AN$3:$AN$169, "Y") + COUNTIFS('Data - Taxa'!Q$3:Q$169, "Y", 'Data - Taxa'!$AN$3:$AN$169, "", 'Data - Taxa'!$AY$3:$AY$169, "Y")</f>
        <v>12</v>
      </c>
      <c r="K17">
        <f>COUNTIFS('Data - Taxa'!Q$3:Q$169, "Y", 'Data - Taxa'!$AM$3:$AM$169, "Y")+COUNTIFS('Data - Taxa'!Q$3:Q$169, "Y", 'Data - Taxa'!$AN$3:$AN$169, "Y")</f>
        <v>1</v>
      </c>
    </row>
    <row r="18" spans="1:13" x14ac:dyDescent="0.35">
      <c r="A18" s="160" t="s">
        <v>473</v>
      </c>
      <c r="B18">
        <f>COUNTIFS('Data - Taxa'!R$3:R$169, "Y", 'Data - Taxa'!$B$3:$B$169, "Bilateralomorpha")</f>
        <v>0</v>
      </c>
      <c r="C18">
        <f>COUNTIFS('Data - Taxa'!R$3:R$169, "Y", 'Data - Taxa'!$B$3:$B$169, "Dickinsoniomorpha")</f>
        <v>0</v>
      </c>
      <c r="D18">
        <f>COUNTIFS('Data - Taxa'!R$3:R$169, "Y", 'Data - Taxa'!$B$3:$B$169, "Kimberellamorpha")</f>
        <v>1</v>
      </c>
      <c r="E18">
        <f>COUNTIFS('Data - Taxa'!R$3:R$169, "Y", 'Data - Taxa'!$AT$3:$AT$169, "Y")</f>
        <v>1</v>
      </c>
      <c r="F18" s="20">
        <f>COUNTIF('Data - Taxa'!R170, "Y")</f>
        <v>0</v>
      </c>
      <c r="G18">
        <f>COUNTIFS('Data - Taxa'!R$3:R$169, "Y", 'Data - Taxa'!$B$3:$B$169, "Complex discoidal", 'Data - Taxa'!$AM$3:$AM$169, "Y")+COUNTIFS('Data - Taxa'!R$3:R$169, "Y", 'Data - Taxa'!$B$3:$B$169, "Complex discoidal", 'Data - Taxa'!$AN$3:$AN$169, "Y")</f>
        <v>0</v>
      </c>
      <c r="H18">
        <f>COUNTIFS('Data - Taxa'!R$3:R$169, "Y", 'Data - Taxa'!$B$3:$B$169, "Bilateralomorpha", 'Data - Taxa'!$AM$3:$AM$169, "Y")+COUNTIFS('Data - Taxa'!R$3:R$169, "Y", 'Data - Taxa'!$B$3:$B$169, "Bilateralomorpha", 'Data - Taxa'!$AN$3:$AN$169, "Y")</f>
        <v>0</v>
      </c>
      <c r="I18">
        <f>COUNTIFS('Data - Taxa'!R$3:R$169, "Y", 'Data - Taxa'!$B$3:$B$169, "Tubular", 'Data - Taxa'!$AM$3:$AM$169, "Y")+COUNTIFS('Data - Taxa'!R$3:R$169, "Y", 'Data - Taxa'!$B$3:$B$169, "Tubular", 'Data - Taxa'!$AN$3:$AN$169, "Y")</f>
        <v>1</v>
      </c>
      <c r="J18">
        <f>COUNTIFS('Data - Taxa'!R$3:R$169, "Y", 'Data - Taxa'!$AM$3:$AM$169, "Y") + COUNTIFS('Data - Taxa'!R$3:R$169, "Y", 'Data - Taxa'!$AM$3:$AM$169, "", 'Data - Taxa'!$AY$3:$AY$169, "Y")+COUNTIFS('Data - Taxa'!R$3:R$169, "Y", 'Data - Taxa'!$AN$3:$AN$169, "Y") + COUNTIFS('Data - Taxa'!R$3:R$169, "Y", 'Data - Taxa'!$AN$3:$AN$169, "", 'Data - Taxa'!$AY$3:$AY$169, "Y")</f>
        <v>6</v>
      </c>
      <c r="K18">
        <f>COUNTIFS('Data - Taxa'!R$3:R$169, "Y", 'Data - Taxa'!$AM$3:$AM$169, "Y")+COUNTIFS('Data - Taxa'!R$3:R$169, "Y", 'Data - Taxa'!$AN$3:$AN$169, "Y")</f>
        <v>1</v>
      </c>
    </row>
    <row r="19" spans="1:13" x14ac:dyDescent="0.35">
      <c r="A19" s="160" t="s">
        <v>474</v>
      </c>
      <c r="B19">
        <f>COUNTIFS('Data - Taxa'!S$3:S$169, "Y", 'Data - Taxa'!$B$3:$B$169, "Bilateralomorpha")</f>
        <v>0</v>
      </c>
      <c r="C19">
        <f>COUNTIFS('Data - Taxa'!S$3:S$169, "Y", 'Data - Taxa'!$B$3:$B$169, "Dickinsoniomorpha")</f>
        <v>0</v>
      </c>
      <c r="D19">
        <f>COUNTIFS('Data - Taxa'!S$3:S$169, "Y", 'Data - Taxa'!$B$3:$B$169, "Kimberellamorpha")</f>
        <v>0</v>
      </c>
      <c r="E19">
        <f>COUNTIFS('Data - Taxa'!S$3:S$169, "Y", 'Data - Taxa'!$AT$3:$AT$169, "Y")</f>
        <v>0</v>
      </c>
      <c r="F19" s="20">
        <f>COUNTIF('Data - Taxa'!S170, "Y")</f>
        <v>0</v>
      </c>
      <c r="G19">
        <f>COUNTIFS('Data - Taxa'!S$3:S$169, "Y", 'Data - Taxa'!$B$3:$B$169, "Complex discoidal", 'Data - Taxa'!$AM$3:$AM$169, "Y")+COUNTIFS('Data - Taxa'!S$3:S$169, "Y", 'Data - Taxa'!$B$3:$B$169, "Complex discoidal", 'Data - Taxa'!$AN$3:$AN$169, "Y")</f>
        <v>0</v>
      </c>
      <c r="H19">
        <f>COUNTIFS('Data - Taxa'!S$3:S$169, "Y", 'Data - Taxa'!$B$3:$B$169, "Bilateralomorpha", 'Data - Taxa'!$AM$3:$AM$169, "Y")+COUNTIFS('Data - Taxa'!S$3:S$169, "Y", 'Data - Taxa'!$B$3:$B$169, "Bilateralomorpha", 'Data - Taxa'!$AN$3:$AN$169, "Y")</f>
        <v>0</v>
      </c>
      <c r="I19">
        <f>COUNTIFS('Data - Taxa'!S$3:S$169, "Y", 'Data - Taxa'!$B$3:$B$169, "Tubular", 'Data - Taxa'!$AM$3:$AM$169, "Y")+COUNTIFS('Data - Taxa'!S$3:S$169, "Y", 'Data - Taxa'!$B$3:$B$169, "Tubular", 'Data - Taxa'!$AN$3:$AN$169, "Y")</f>
        <v>0</v>
      </c>
      <c r="J19">
        <f>COUNTIFS('Data - Taxa'!S$3:S$169, "Y", 'Data - Taxa'!$AM$3:$AM$169, "Y") + COUNTIFS('Data - Taxa'!S$3:S$169, "Y", 'Data - Taxa'!$AM$3:$AM$169, "", 'Data - Taxa'!$AY$3:$AY$169, "Y")+COUNTIFS('Data - Taxa'!S$3:S$169, "Y", 'Data - Taxa'!$AN$3:$AN$169, "Y") + COUNTIFS('Data - Taxa'!S$3:S$169, "Y", 'Data - Taxa'!$AN$3:$AN$169, "", 'Data - Taxa'!$AY$3:$AY$169, "Y")</f>
        <v>0</v>
      </c>
      <c r="K19">
        <f>COUNTIFS('Data - Taxa'!S$3:S$169, "Y", 'Data - Taxa'!$AM$3:$AM$169, "Y")+COUNTIFS('Data - Taxa'!S$3:S$169, "Y", 'Data - Taxa'!$AN$3:$AN$169, "Y")</f>
        <v>0</v>
      </c>
    </row>
    <row r="20" spans="1:13" x14ac:dyDescent="0.35">
      <c r="A20" s="153" t="s">
        <v>475</v>
      </c>
      <c r="B20">
        <f>COUNTIFS('Data - Taxa'!T$3:T$169, "Y", 'Data - Taxa'!$B$3:$B$169, "Bilateralomorpha")</f>
        <v>0</v>
      </c>
      <c r="C20">
        <f>COUNTIFS('Data - Taxa'!T$3:T$169, "Y", 'Data - Taxa'!$B$3:$B$169, "Dickinsoniomorpha")</f>
        <v>0</v>
      </c>
      <c r="D20">
        <f>COUNTIFS('Data - Taxa'!T$3:T$169, "Y", 'Data - Taxa'!$B$3:$B$169, "Kimberellamorpha")</f>
        <v>0</v>
      </c>
      <c r="E20">
        <f>COUNTIFS('Data - Taxa'!T$3:T$169, "Y", 'Data - Taxa'!$AT$3:$AT$169, "Y")</f>
        <v>0</v>
      </c>
      <c r="F20" s="20">
        <f>COUNTIF('Data - Taxa'!T170, "Y")</f>
        <v>1</v>
      </c>
      <c r="G20">
        <f>COUNTIFS('Data - Taxa'!T$3:T$169, "Y", 'Data - Taxa'!$B$3:$B$169, "Complex discoidal", 'Data - Taxa'!$AM$3:$AM$169, "Y")+COUNTIFS('Data - Taxa'!T$3:T$169, "Y", 'Data - Taxa'!$B$3:$B$169, "Complex discoidal", 'Data - Taxa'!$AN$3:$AN$169, "Y")</f>
        <v>0</v>
      </c>
      <c r="H20">
        <f>COUNTIFS('Data - Taxa'!T$3:T$169, "Y", 'Data - Taxa'!$B$3:$B$169, "Bilateralomorpha", 'Data - Taxa'!$AM$3:$AM$169, "Y")+COUNTIFS('Data - Taxa'!T$3:T$169, "Y", 'Data - Taxa'!$B$3:$B$169, "Bilateralomorpha", 'Data - Taxa'!$AN$3:$AN$169, "Y")</f>
        <v>0</v>
      </c>
      <c r="I20">
        <f>COUNTIFS('Data - Taxa'!T$3:T$169, "Y", 'Data - Taxa'!$B$3:$B$169, "Tubular", 'Data - Taxa'!$AM$3:$AM$169, "Y")+COUNTIFS('Data - Taxa'!T$3:T$169, "Y", 'Data - Taxa'!$B$3:$B$169, "Tubular", 'Data - Taxa'!$AN$3:$AN$169, "Y")</f>
        <v>0</v>
      </c>
      <c r="J20">
        <f>COUNTIFS('Data - Taxa'!T$3:T$169, "Y", 'Data - Taxa'!$AM$3:$AM$169, "Y") + COUNTIFS('Data - Taxa'!T$3:T$169, "Y", 'Data - Taxa'!$AM$3:$AM$169, "", 'Data - Taxa'!$AY$3:$AY$169, "Y")+COUNTIFS('Data - Taxa'!T$3:T$169, "Y", 'Data - Taxa'!$AN$3:$AN$169, "Y") + COUNTIFS('Data - Taxa'!T$3:T$169, "Y", 'Data - Taxa'!$AN$3:$AN$169, "", 'Data - Taxa'!$AY$3:$AY$169, "Y")</f>
        <v>8</v>
      </c>
      <c r="K20">
        <f>COUNTIFS('Data - Taxa'!T$3:T$169, "Y", 'Data - Taxa'!$AM$3:$AM$169, "Y")+COUNTIFS('Data - Taxa'!T$3:T$169, "Y", 'Data - Taxa'!$AN$3:$AN$169, "Y")</f>
        <v>0</v>
      </c>
      <c r="M20" s="95"/>
    </row>
    <row r="21" spans="1:13" x14ac:dyDescent="0.35">
      <c r="A21" s="153" t="s">
        <v>476</v>
      </c>
      <c r="B21">
        <f>COUNTIFS('Data - Taxa'!U$3:U$169, "Y", 'Data - Taxa'!$B$3:$B$169, "Bilateralomorpha")</f>
        <v>1</v>
      </c>
      <c r="C21">
        <f>COUNTIFS('Data - Taxa'!U$3:U$169, "Y", 'Data - Taxa'!$B$3:$B$169, "Dickinsoniomorpha")</f>
        <v>1</v>
      </c>
      <c r="D21">
        <f>COUNTIFS('Data - Taxa'!U$3:U$169, "Y", 'Data - Taxa'!$B$3:$B$169, "Kimberellamorpha")</f>
        <v>0</v>
      </c>
      <c r="E21">
        <f>COUNTIFS('Data - Taxa'!U$3:U$169, "Y", 'Data - Taxa'!$AU$3:$AU$169, "Y")</f>
        <v>0</v>
      </c>
      <c r="F21" s="20">
        <f>COUNTIF('Data - Taxa'!T170, "Y")</f>
        <v>1</v>
      </c>
      <c r="G21">
        <f>COUNTIFS('Data - Taxa'!U$3:U$169, "Y", 'Data - Taxa'!$B$3:$B$169, "Complex discoidal", 'Data - Taxa'!$AM$3:$AM$169, "Y")+COUNTIFS('Data - Taxa'!U$3:U$169, "Y", 'Data - Taxa'!$B$3:$B$169, "Complex discoidal", 'Data - Taxa'!$AN$3:$AN$169, "Y")</f>
        <v>0</v>
      </c>
      <c r="H21">
        <f>COUNTIFS('Data - Taxa'!U$3:U$169, "Y", 'Data - Taxa'!$B$3:$B$169, "Bilateralomorpha", 'Data - Taxa'!$AM$3:$AM$169, "Y")+COUNTIFS('Data - Taxa'!U$3:U$169, "Y", 'Data - Taxa'!$B$3:$B$169, "Bilateralomorpha", 'Data - Taxa'!$AN$3:$AN$169, "Y")</f>
        <v>0</v>
      </c>
      <c r="I21">
        <f>COUNTIFS('Data - Taxa'!U$3:U$169, "Y", 'Data - Taxa'!$B$3:$B$169, "Tubular", 'Data - Taxa'!$AM$3:$AM$169, "Y")+COUNTIFS('Data - Taxa'!U$3:U$169, "Y", 'Data - Taxa'!$B$3:$B$169, "Tubular", 'Data - Taxa'!$AN$3:$AN$169, "Y")</f>
        <v>1</v>
      </c>
      <c r="J21">
        <f>COUNTIFS('Data - Taxa'!U$3:U$169, "Y", 'Data - Taxa'!$AM$3:$AM$169, "Y") + COUNTIFS('Data - Taxa'!U$3:U$169, "Y", 'Data - Taxa'!$AM$3:$AM$169, "", 'Data - Taxa'!$AY$3:$AY$169, "Y")+COUNTIFS('Data - Taxa'!U$3:U$169, "Y", 'Data - Taxa'!$AN$3:$AN$169, "Y") + COUNTIFS('Data - Taxa'!U$3:U$169, "Y", 'Data - Taxa'!$AN$3:$AN$169, "", 'Data - Taxa'!$AY$3:$AY$169, "Y")</f>
        <v>4</v>
      </c>
      <c r="K21">
        <f>COUNTIFS('Data - Taxa'!U$3:U$169, "Y", 'Data - Taxa'!$AM$3:$AM$169, "Y")+COUNTIFS('Data - Taxa'!U$3:U$169, "Y", 'Data - Taxa'!$AN$3:$AN$169, "Y")</f>
        <v>1</v>
      </c>
    </row>
    <row r="22" spans="1:13" x14ac:dyDescent="0.35">
      <c r="A22" s="161" t="s">
        <v>477</v>
      </c>
      <c r="B22">
        <f>COUNTIFS('Data - Taxa'!V$3:V$169, "Y", 'Data - Taxa'!$B$3:$B$169, "Bilateralomorpha")</f>
        <v>0</v>
      </c>
      <c r="C22">
        <f>COUNTIFS('Data - Taxa'!V$3:V$169, "Y", 'Data - Taxa'!$B$3:$B$169, "Dickinsoniomorpha")</f>
        <v>0</v>
      </c>
      <c r="D22">
        <f>COUNTIFS('Data - Taxa'!V$3:V$169, "Y", 'Data - Taxa'!$B$3:$B$169, "Kimberellamorpha")</f>
        <v>0</v>
      </c>
      <c r="E22">
        <f>COUNTIFS('Data - Taxa'!V$3:V$169, "Y", 'Data - Taxa'!$AT$3:$AT$169, "Y")</f>
        <v>0</v>
      </c>
      <c r="F22" s="20">
        <f>COUNTIF('Data - Taxa'!V170, "Y")</f>
        <v>1</v>
      </c>
      <c r="G22">
        <f>COUNTIFS('Data - Taxa'!V$3:V$169, "Y", 'Data - Taxa'!$B$3:$B$169, "Complex discoidal", 'Data - Taxa'!$AM$3:$AM$169, "Y")+COUNTIFS('Data - Taxa'!V$3:V$169, "Y", 'Data - Taxa'!$B$3:$B$169, "Complex discoidal", 'Data - Taxa'!$AN$3:$AN$169, "Y")</f>
        <v>0</v>
      </c>
      <c r="H22">
        <f>COUNTIFS('Data - Taxa'!V$3:V$169, "Y", 'Data - Taxa'!$B$3:$B$169, "Bilateralomorpha", 'Data - Taxa'!$AM$3:$AM$169, "Y")+COUNTIFS('Data - Taxa'!V$3:V$169, "Y", 'Data - Taxa'!$B$3:$B$169, "Bilateralomorpha", 'Data - Taxa'!$AN$3:$AN$169, "Y")</f>
        <v>0</v>
      </c>
      <c r="I22">
        <f>COUNTIFS('Data - Taxa'!V$3:V$169, "Y", 'Data - Taxa'!$B$3:$B$169, "Tubular", 'Data - Taxa'!$AM$3:$AM$169, "Y")+COUNTIFS('Data - Taxa'!V$3:V$169, "Y", 'Data - Taxa'!$B$3:$B$169, "Tubular", 'Data - Taxa'!$AN$3:$AN$169, "Y")</f>
        <v>3</v>
      </c>
      <c r="J22">
        <f>COUNTIFS('Data - Taxa'!V$3:V$169, "Y", 'Data - Taxa'!$AM$3:$AM$169, "Y") + COUNTIFS('Data - Taxa'!V$3:V$169, "Y", 'Data - Taxa'!$AM$3:$AM$169, "", 'Data - Taxa'!$AY$3:$AY$169, "Y")+COUNTIFS('Data - Taxa'!V$3:V$169, "Y", 'Data - Taxa'!$AN$3:$AN$169, "Y") + COUNTIFS('Data - Taxa'!V$3:V$169, "Y", 'Data - Taxa'!$AN$3:$AN$169, "", 'Data - Taxa'!$AY$3:$AY$169, "Y")</f>
        <v>12</v>
      </c>
      <c r="K22">
        <f>COUNTIFS('Data - Taxa'!V$3:V$169, "Y", 'Data - Taxa'!$AM$3:$AM$169, "Y")+COUNTIFS('Data - Taxa'!V$3:V$169, "Y", 'Data - Taxa'!$AN$3:$AN$169, "Y")</f>
        <v>3</v>
      </c>
    </row>
    <row r="23" spans="1:13" x14ac:dyDescent="0.35">
      <c r="A23" s="160" t="s">
        <v>478</v>
      </c>
      <c r="B23">
        <f>COUNTIFS('Data - Taxa'!W$3:W$169, "Y", 'Data - Taxa'!$B$3:$B$169, "Bilateralomorpha")</f>
        <v>1</v>
      </c>
      <c r="C23">
        <f>COUNTIFS('Data - Taxa'!W$3:W$169, "Y", 'Data - Taxa'!$B$3:$B$169, "Dickinsoniomorpha")</f>
        <v>0</v>
      </c>
      <c r="D23">
        <f>COUNTIFS('Data - Taxa'!W$3:W$169, "Y", 'Data - Taxa'!$B$3:$B$169, "Kimberellamorpha")</f>
        <v>0</v>
      </c>
      <c r="E23">
        <f>COUNTIFS('Data - Taxa'!W$3:W$169, "Y", 'Data - Taxa'!$AT$3:$AT$169, "Y")</f>
        <v>1</v>
      </c>
      <c r="F23" s="20">
        <f>COUNTIF('Data - Taxa'!W170, "Y")</f>
        <v>1</v>
      </c>
      <c r="G23">
        <f>COUNTIFS('Data - Taxa'!W$3:W$169, "Y", 'Data - Taxa'!$B$3:$B$169, "Complex discoidal", 'Data - Taxa'!$AM$3:$AM$169, "Y")+COUNTIFS('Data - Taxa'!W$3:W$169, "Y", 'Data - Taxa'!$B$3:$B$169, "Complex discoidal", 'Data - Taxa'!$AN$3:$AN$169, "Y")</f>
        <v>1</v>
      </c>
      <c r="H23">
        <f>COUNTIFS('Data - Taxa'!W$3:W$169, "Y", 'Data - Taxa'!$B$3:$B$169, "Bilateralomorpha", 'Data - Taxa'!$AM$3:$AM$169, "Y")+COUNTIFS('Data - Taxa'!W$3:W$169, "Y", 'Data - Taxa'!$B$3:$B$169, "Bilateralomorpha", 'Data - Taxa'!$AN$3:$AN$169, "Y")</f>
        <v>1</v>
      </c>
      <c r="I23">
        <f>COUNTIFS('Data - Taxa'!W$3:W$169, "Y", 'Data - Taxa'!$B$3:$B$169, "Tubular", 'Data - Taxa'!$AM$3:$AM$169, "Y")+COUNTIFS('Data - Taxa'!W$3:W$169, "Y", 'Data - Taxa'!$B$3:$B$169, "Tubular", 'Data - Taxa'!$AN$3:$AN$169, "Y")</f>
        <v>1</v>
      </c>
      <c r="J23">
        <f>COUNTIFS('Data - Taxa'!W$3:W$169, "Y", 'Data - Taxa'!$AM$3:$AM$169, "Y") + COUNTIFS('Data - Taxa'!W$3:W$169, "Y", 'Data - Taxa'!$AM$3:$AM$169, "", 'Data - Taxa'!$AY$3:$AY$169, "Y")+COUNTIFS('Data - Taxa'!W$3:W$169, "Y", 'Data - Taxa'!$AN$3:$AN$169, "Y") + COUNTIFS('Data - Taxa'!W$3:W$169, "Y", 'Data - Taxa'!$AN$3:$AN$169, "", 'Data - Taxa'!$AY$3:$AY$169, "Y")</f>
        <v>8</v>
      </c>
      <c r="K23">
        <f>COUNTIFS('Data - Taxa'!W$3:W$169, "Y", 'Data - Taxa'!$AM$3:$AM$169, "Y")+COUNTIFS('Data - Taxa'!W$3:W$169, "Y", 'Data - Taxa'!$AN$3:$AN$169, "Y")</f>
        <v>3</v>
      </c>
    </row>
    <row r="24" spans="1:13" x14ac:dyDescent="0.35">
      <c r="A24" s="160" t="s">
        <v>488</v>
      </c>
      <c r="B24">
        <f>COUNTIFS('Data - Taxa'!X$3:X$169, "Y", 'Data - Taxa'!$B$3:$B$169, "Bilateralomorpha")</f>
        <v>0</v>
      </c>
      <c r="C24">
        <f>COUNTIFS('Data - Taxa'!X$3:X$169, "Y", 'Data - Taxa'!$B$3:$B$169, "Dickinsoniomorpha")</f>
        <v>0</v>
      </c>
      <c r="D24">
        <f>COUNTIFS('Data - Taxa'!X$3:X$169, "Y", 'Data - Taxa'!$B$3:$B$169, "Kimberellamorpha")</f>
        <v>1</v>
      </c>
      <c r="E24">
        <f>COUNTIFS('Data - Taxa'!X$3:X$169, "Y", 'Data - Taxa'!$AT$3:$AT$169, "Y")</f>
        <v>1</v>
      </c>
      <c r="F24" s="20">
        <f>COUNTIF('Data - Taxa'!X170, "Y")</f>
        <v>0</v>
      </c>
      <c r="G24">
        <f>COUNTIFS('Data - Taxa'!X$3:X$169, "Y", 'Data - Taxa'!$B$3:$B$169, "Complex discoidal", 'Data - Taxa'!$AM$3:$AM$169, "Y")+COUNTIFS('Data - Taxa'!X$3:X$169, "Y", 'Data - Taxa'!$B$3:$B$169, "Complex discoidal", 'Data - Taxa'!$AN$3:$AN$169, "Y")</f>
        <v>0</v>
      </c>
      <c r="H24">
        <f>COUNTIFS('Data - Taxa'!X$3:X$169, "Y", 'Data - Taxa'!$B$3:$B$169, "Bilateralomorpha", 'Data - Taxa'!$AM$3:$AM$169, "Y")+COUNTIFS('Data - Taxa'!X$3:X$169, "Y", 'Data - Taxa'!$B$3:$B$169, "Bilateralomorpha", 'Data - Taxa'!$AN$3:$AN$169, "Y")</f>
        <v>0</v>
      </c>
      <c r="I24">
        <f>COUNTIFS('Data - Taxa'!X$3:X$169, "Y", 'Data - Taxa'!$B$3:$B$169, "Tubular", 'Data - Taxa'!$AM$3:$AM$169, "Y")+COUNTIFS('Data - Taxa'!X$3:X$169, "Y", 'Data - Taxa'!$B$3:$B$169, "Tubular", 'Data - Taxa'!$AN$3:$AN$169, "Y")</f>
        <v>0</v>
      </c>
      <c r="J24">
        <f>COUNTIFS('Data - Taxa'!X$3:X$169, "Y", 'Data - Taxa'!$AM$3:$AM$169, "Y") + COUNTIFS('Data - Taxa'!X$3:X$169, "Y", 'Data - Taxa'!$AM$3:$AM$169, "", 'Data - Taxa'!$AY$3:$AY$169, "Y")+COUNTIFS('Data - Taxa'!X$3:X$169, "Y", 'Data - Taxa'!$AN$3:$AN$169, "Y") + COUNTIFS('Data - Taxa'!X$3:X$169, "Y", 'Data - Taxa'!$AN$3:$AN$169, "", 'Data - Taxa'!$AY$3:$AY$169, "Y")</f>
        <v>2</v>
      </c>
      <c r="K24">
        <f>COUNTIFS('Data - Taxa'!X$3:X$169, "Y", 'Data - Taxa'!$AM$3:$AM$169, "Y")+COUNTIFS('Data - Taxa'!X$3:X$169, "Y", 'Data - Taxa'!$AN$3:$AN$169, "Y")</f>
        <v>0</v>
      </c>
    </row>
    <row r="25" spans="1:13" x14ac:dyDescent="0.35">
      <c r="A25" s="160" t="s">
        <v>479</v>
      </c>
      <c r="B25">
        <f>COUNTIFS('Data - Taxa'!Y$3:Y$169, "Y", 'Data - Taxa'!$B$3:$B$169, "Bilateralomorpha")</f>
        <v>0</v>
      </c>
      <c r="C25">
        <f>COUNTIFS('Data - Taxa'!Y$3:Y$169, "Y", 'Data - Taxa'!$B$3:$B$169, "Dickinsoniomorpha")</f>
        <v>0</v>
      </c>
      <c r="D25">
        <f>COUNTIFS('Data - Taxa'!Y$3:Y$169, "Y", 'Data - Taxa'!$B$3:$B$169, "Kimberellamorpha")</f>
        <v>0</v>
      </c>
      <c r="E25">
        <f>COUNTIFS('Data - Taxa'!Y$3:Y$169, "Y", 'Data - Taxa'!$AT$3:$AT$169, "Y")</f>
        <v>0</v>
      </c>
      <c r="F25" s="20">
        <f>COUNTIF('Data - Taxa'!X170, "Y")</f>
        <v>0</v>
      </c>
      <c r="G25">
        <f>COUNTIFS('Data - Taxa'!Y$3:Y$169, "Y", 'Data - Taxa'!$B$3:$B$169, "Complex discoidal", 'Data - Taxa'!$AM$3:$AM$169, "Y")+COUNTIFS('Data - Taxa'!Y$3:Y$169, "Y", 'Data - Taxa'!$B$3:$B$169, "Complex discoidal", 'Data - Taxa'!$AN$3:$AN$169, "Y")</f>
        <v>0</v>
      </c>
      <c r="H25">
        <f>COUNTIFS('Data - Taxa'!Y$3:Y$169, "Y", 'Data - Taxa'!$B$3:$B$169, "Bilateralomorpha", 'Data - Taxa'!$AM$3:$AM$169, "Y")+COUNTIFS('Data - Taxa'!Y$3:Y$169, "Y", 'Data - Taxa'!$B$3:$B$169, "Bilateralomorpha", 'Data - Taxa'!$AN$3:$AN$169, "Y")</f>
        <v>0</v>
      </c>
      <c r="I25">
        <f>COUNTIFS('Data - Taxa'!Y$3:Y$169, "Y", 'Data - Taxa'!$B$3:$B$169, "Tubular", 'Data - Taxa'!$AM$3:$AM$169, "Y")+COUNTIFS('Data - Taxa'!Y$3:Y$169, "Y", 'Data - Taxa'!$B$3:$B$169, "Tubular", 'Data - Taxa'!$AN$3:$AN$169, "Y")</f>
        <v>0</v>
      </c>
      <c r="J25">
        <f>COUNTIFS('Data - Taxa'!Y$3:Y$169, "Y", 'Data - Taxa'!$AM$3:$AM$169, "Y") + COUNTIFS('Data - Taxa'!Y$3:Y$169, "Y", 'Data - Taxa'!$AM$3:$AM$169, "", 'Data - Taxa'!$AZ$3:$AZ$169, "Y")+COUNTIFS('Data - Taxa'!Y$3:Y$169, "Y", 'Data - Taxa'!$AN$3:$AN$169, "Y") + COUNTIFS('Data - Taxa'!Y$3:Y$169, "Y", 'Data - Taxa'!$AN$3:$AN$169, "", 'Data - Taxa'!$AZ$3:$AZ$169, "Y")</f>
        <v>0</v>
      </c>
      <c r="K25">
        <f>COUNTIFS('Data - Taxa'!Y$3:Y$169, "Y", 'Data - Taxa'!$AM$3:$AM$169, "Y")+COUNTIFS('Data - Taxa'!Y$3:Y$169, "Y", 'Data - Taxa'!$AN$3:$AN$169, "Y")</f>
        <v>0</v>
      </c>
    </row>
    <row r="26" spans="1:13" x14ac:dyDescent="0.35">
      <c r="A26" s="160" t="s">
        <v>480</v>
      </c>
      <c r="B26">
        <f>COUNTIFS('Data - Taxa'!Z$3:Z$169, "Y", 'Data - Taxa'!$B$3:$B$169, "Bilateralomorpha")</f>
        <v>1</v>
      </c>
      <c r="C26">
        <f>COUNTIFS('Data - Taxa'!Z$3:Z$169, "Y", 'Data - Taxa'!$B$3:$B$169, "Dickinsoniomorpha")</f>
        <v>0</v>
      </c>
      <c r="D26">
        <f>COUNTIFS('Data - Taxa'!Z$3:Z$169, "Y", 'Data - Taxa'!$B$3:$B$169, "Kimberellamorpha")</f>
        <v>0</v>
      </c>
      <c r="E26">
        <f>COUNTIFS('Data - Taxa'!Z$3:Z$169, "Y", 'Data - Taxa'!$AT$3:$AT$169, "Y")</f>
        <v>1</v>
      </c>
      <c r="F26" s="20">
        <f>COUNTIF('Data - Taxa'!Z170, "Y")</f>
        <v>1</v>
      </c>
      <c r="G26">
        <f>COUNTIFS('Data - Taxa'!Z$3:Z$169, "Y", 'Data - Taxa'!$B$3:$B$169, "Complex discoidal", 'Data - Taxa'!$AM$3:$AM$169, "Y")+COUNTIFS('Data - Taxa'!Z$3:Z$169, "Y", 'Data - Taxa'!$B$3:$B$169, "Complex discoidal", 'Data - Taxa'!$AN$3:$AN$169, "Y")</f>
        <v>0</v>
      </c>
      <c r="H26">
        <f>COUNTIFS('Data - Taxa'!Z$3:Z$169, "Y", 'Data - Taxa'!$B$3:$B$169, "Bilateralomorpha", 'Data - Taxa'!$AM$3:$AM$169, "Y")+COUNTIFS('Data - Taxa'!Z$3:Z$169, "Y", 'Data - Taxa'!$B$3:$B$169, "Bilateralomorpha", 'Data - Taxa'!$AN$3:$AN$169, "Y")</f>
        <v>1</v>
      </c>
      <c r="I26">
        <f>COUNTIFS('Data - Taxa'!Z$3:Z$169, "Y", 'Data - Taxa'!$B$3:$B$169, "Tubular", 'Data - Taxa'!$AM$3:$AM$169, "Y")+COUNTIFS('Data - Taxa'!Z$3:Z$169, "Y", 'Data - Taxa'!$B$3:$B$169, "Tubular", 'Data - Taxa'!$AN$3:$AN$169, "Y")</f>
        <v>1</v>
      </c>
      <c r="J26">
        <f>COUNTIFS('Data - Taxa'!Z$3:Z$169, "Y", 'Data - Taxa'!$AM$3:$AM$169, "Y") + COUNTIFS('Data - Taxa'!Z$3:Z$169, "Y", 'Data - Taxa'!$AM$3:$AM$169, "", 'Data - Taxa'!$AY$3:$AY$169, "Y")+COUNTIFS('Data - Taxa'!Z$3:Z$169, "Y", 'Data - Taxa'!$AN$3:$AN$169, "Y") + COUNTIFS('Data - Taxa'!Z$3:Z$169, "Y", 'Data - Taxa'!$AN$3:$AN$169, "", 'Data - Taxa'!$AY$3:$AY$169, "Y")</f>
        <v>5</v>
      </c>
      <c r="K26">
        <f>COUNTIFS('Data - Taxa'!Z$3:Z$169, "Y", 'Data - Taxa'!$AM$3:$AM$169, "Y")+COUNTIFS('Data - Taxa'!Z$3:Z$169, "Y", 'Data - Taxa'!$AN$3:$AN$169, "Y")</f>
        <v>2</v>
      </c>
    </row>
    <row r="27" spans="1:13" x14ac:dyDescent="0.35">
      <c r="A27" s="160" t="s">
        <v>481</v>
      </c>
      <c r="B27">
        <f>COUNTIFS('Data - Taxa'!AA$3:AA$169, "Y", 'Data - Taxa'!$B$3:$B$169, "Bilateralomorpha")</f>
        <v>0</v>
      </c>
      <c r="C27">
        <f>COUNTIFS('Data - Taxa'!AA$3:AA$169, "Y", 'Data - Taxa'!$B$3:$B$169, "Dickinsoniomorpha")</f>
        <v>0</v>
      </c>
      <c r="D27">
        <f>COUNTIFS('Data - Taxa'!AA$3:AA$169, "Y", 'Data - Taxa'!$B$3:$B$169, "Kimberellamorpha")</f>
        <v>0</v>
      </c>
      <c r="E27">
        <f>COUNTIFS('Data - Taxa'!AA$3:AA$169, "Y", 'Data - Taxa'!$AT$3:$AT$169, "Y")</f>
        <v>0</v>
      </c>
      <c r="F27" s="20">
        <f>COUNTIF('Data - Taxa'!AA170, "Y")</f>
        <v>0</v>
      </c>
      <c r="G27">
        <f>COUNTIFS('Data - Taxa'!AA$3:AA$169, "Y", 'Data - Taxa'!$B$3:$B$169, "Complex discoidal", 'Data - Taxa'!$AM$3:$AM$169, "Y")+COUNTIFS('Data - Taxa'!AA$3:AA$169, "Y", 'Data - Taxa'!$B$3:$B$169, "Complex discoidal", 'Data - Taxa'!$AN$3:$AN$169, "Y")</f>
        <v>0</v>
      </c>
      <c r="H27">
        <f>COUNTIFS('Data - Taxa'!AA$3:AA$169, "Y", 'Data - Taxa'!$B$3:$B$169, "Bilateralomorpha", 'Data - Taxa'!$AM$3:$AM$169, "Y")+COUNTIFS('Data - Taxa'!AA$3:AA$169, "Y", 'Data - Taxa'!$B$3:$B$169, "Bilateralomorpha", 'Data - Taxa'!$AN$3:$AN$169, "Y")</f>
        <v>0</v>
      </c>
      <c r="I27">
        <f>COUNTIFS('Data - Taxa'!AA$3:AA$169, "Y", 'Data - Taxa'!$B$3:$B$169, "Tubular", 'Data - Taxa'!$AM$3:$AM$169, "Y")+COUNTIFS('Data - Taxa'!AA$3:AA$169, "Y", 'Data - Taxa'!$B$3:$B$169, "Tubular", 'Data - Taxa'!$AN$3:$AN$169, "Y")</f>
        <v>0</v>
      </c>
      <c r="J27">
        <f>COUNTIFS('Data - Taxa'!AA$3:AA$169, "Y", 'Data - Taxa'!$AM$3:$AM$169, "Y") + COUNTIFS('Data - Taxa'!AA$3:AA$169, "Y", 'Data - Taxa'!$AM$3:$AM$169, "", 'Data - Taxa'!$AY$3:$AY$169, "Y")+COUNTIFS('Data - Taxa'!AA$3:AA$169, "Y", 'Data - Taxa'!$AN$3:$AN$169, "Y") + COUNTIFS('Data - Taxa'!AA$3:AA$169, "Y", 'Data - Taxa'!$AN$3:$AN$169, "", 'Data - Taxa'!$AY$3:$AY$169, "Y")</f>
        <v>0</v>
      </c>
      <c r="K27">
        <f>COUNTIFS('Data - Taxa'!AA$3:AA$169, "Y", 'Data - Taxa'!$AM$3:$AM$169, "Y")+COUNTIFS('Data - Taxa'!AA$3:AA$169, "Y", 'Data - Taxa'!$AN$3:$AN$169, "Y")</f>
        <v>0</v>
      </c>
    </row>
    <row r="28" spans="1:13" x14ac:dyDescent="0.35">
      <c r="A28" s="160" t="s">
        <v>482</v>
      </c>
      <c r="B28">
        <f>COUNTIFS('Data - Taxa'!AB$3:AB$169, "Y", 'Data - Taxa'!$B$3:$B$169, "Bilateralomorpha")</f>
        <v>0</v>
      </c>
      <c r="C28">
        <f>COUNTIFS('Data - Taxa'!AB$3:AB$169, "Y", 'Data - Taxa'!$B$3:$B$169, "Dickinsoniomorpha")</f>
        <v>0</v>
      </c>
      <c r="D28">
        <f>COUNTIFS('Data - Taxa'!AB$3:AB$169, "Y", 'Data - Taxa'!$B$3:$B$169, "Kimberellamorpha")</f>
        <v>0</v>
      </c>
      <c r="E28">
        <f>COUNTIFS('Data - Taxa'!AB$3:AB$169, "Y", 'Data - Taxa'!$AT$3:$AT$169, "Y")</f>
        <v>0</v>
      </c>
      <c r="F28" s="20">
        <f>COUNTIF('Data - Taxa'!AB170, "Y")</f>
        <v>0</v>
      </c>
      <c r="G28">
        <f>COUNTIFS('Data - Taxa'!AB$3:AB$169, "Y", 'Data - Taxa'!$B$3:$B$169, "Complex discoidal", 'Data - Taxa'!$AM$3:$AM$169, "Y")+COUNTIFS('Data - Taxa'!AB$3:AB$169, "Y", 'Data - Taxa'!$B$3:$B$169, "Complex discoidal", 'Data - Taxa'!$AN$3:$AN$169, "Y")</f>
        <v>0</v>
      </c>
      <c r="H28">
        <f>COUNTIFS('Data - Taxa'!AB$3:AB$169, "Y", 'Data - Taxa'!$B$3:$B$169, "Bilateralomorpha", 'Data - Taxa'!$AM$3:$AM$169, "Y")+COUNTIFS('Data - Taxa'!AB$3:AB$169, "Y", 'Data - Taxa'!$B$3:$B$169, "Bilateralomorpha", 'Data - Taxa'!$AN$3:$AN$169, "Y")</f>
        <v>0</v>
      </c>
      <c r="I28">
        <f>COUNTIFS('Data - Taxa'!AB$3:AB$169, "Y", 'Data - Taxa'!$B$3:$B$169, "Tubular", 'Data - Taxa'!$AM$3:$AM$169, "Y")+COUNTIFS('Data - Taxa'!AB$3:AB$169, "Y", 'Data - Taxa'!$B$3:$B$169, "Tubular", 'Data - Taxa'!$AN$3:$AN$169, "Y")</f>
        <v>2</v>
      </c>
      <c r="J28">
        <f>COUNTIFS('Data - Taxa'!AB$3:AB$169, "Y", 'Data - Taxa'!$AM$3:$AM$169, "Y") + COUNTIFS('Data - Taxa'!AB$3:AB$169, "Y", 'Data - Taxa'!$AM$3:$AM$169, "", 'Data - Taxa'!$AY$3:$AY$169, "Y")+COUNTIFS('Data - Taxa'!AB$3:AB$169, "Y", 'Data - Taxa'!$AN$3:$AN$169, "Y") + COUNTIFS('Data - Taxa'!AB$3:AB$169, "Y", 'Data - Taxa'!$AN$3:$AN$169, "", 'Data - Taxa'!$AY$3:$AY$169, "Y")</f>
        <v>10</v>
      </c>
      <c r="K28">
        <f>COUNTIFS('Data - Taxa'!AB$3:AB$169, "Y", 'Data - Taxa'!$AM$3:$AM$169, "Y")+COUNTIFS('Data - Taxa'!AB$3:AB$169, "Y", 'Data - Taxa'!$AN$3:$AN$169, "Y")</f>
        <v>2</v>
      </c>
    </row>
    <row r="29" spans="1:13" x14ac:dyDescent="0.35">
      <c r="A29" s="160" t="s">
        <v>483</v>
      </c>
      <c r="B29">
        <f>COUNTIFS('Data - Taxa'!AC$3:AC$169, "Y", 'Data - Taxa'!$B$3:$B$169, "Bilateralomorpha")</f>
        <v>0</v>
      </c>
      <c r="C29">
        <f>COUNTIFS('Data - Taxa'!AC$3:AC$169, "Y", 'Data - Taxa'!$B$3:$B$169, "Dickinsoniomorpha")</f>
        <v>0</v>
      </c>
      <c r="D29">
        <f>COUNTIFS('Data - Taxa'!AC$3:AC$169, "Y", 'Data - Taxa'!$B$3:$B$169, "Kimberellamorpha")</f>
        <v>0</v>
      </c>
      <c r="E29">
        <f>COUNTIFS('Data - Taxa'!AC$3:AC$169, "Y", 'Data - Taxa'!$AT$3:$AT$169, "Y")</f>
        <v>0</v>
      </c>
      <c r="F29" s="20">
        <f>COUNTIF('Data - Taxa'!AC170, "Y")</f>
        <v>0</v>
      </c>
      <c r="G29">
        <f>COUNTIFS('Data - Taxa'!AC$3:AC$169, "Y", 'Data - Taxa'!$B$3:$B$169, "Complex discoidal", 'Data - Taxa'!$AM$3:$AM$169, "Y")+COUNTIFS('Data - Taxa'!AC$3:AC$169, "Y", 'Data - Taxa'!$B$3:$B$169, "Complex discoidal", 'Data - Taxa'!$AN$3:$AN$169, "Y")</f>
        <v>0</v>
      </c>
      <c r="H29">
        <f>COUNTIFS('Data - Taxa'!AC$3:AC$169, "Y", 'Data - Taxa'!$B$3:$B$169, "Bilateralomorpha", 'Data - Taxa'!$AM$3:$AM$169, "Y")+COUNTIFS('Data - Taxa'!AC$3:AC$169, "Y", 'Data - Taxa'!$B$3:$B$169, "Bilateralomorpha", 'Data - Taxa'!$AN$3:$AN$169, "Y")</f>
        <v>0</v>
      </c>
      <c r="I29">
        <f>COUNTIFS('Data - Taxa'!AC$3:AC$169, "Y", 'Data - Taxa'!$B$3:$B$169, "Tubular", 'Data - Taxa'!$AM$3:$AM$169, "Y")+COUNTIFS('Data - Taxa'!AC$3:AC$169, "Y", 'Data - Taxa'!$B$3:$B$169, "Tubular", 'Data - Taxa'!$AN$3:$AN$169, "Y")</f>
        <v>0</v>
      </c>
      <c r="J29">
        <f>COUNTIFS('Data - Taxa'!AC$3:AC$169, "Y", 'Data - Taxa'!$AM$3:$AM$169, "Y") + COUNTIFS('Data - Taxa'!AC$3:AC$169, "Y", 'Data - Taxa'!$AM$3:$AM$169, "", 'Data - Taxa'!$AY$3:$AY$169, "Y")+COUNTIFS('Data - Taxa'!AC$3:AC$169, "Y", 'Data - Taxa'!$AN$3:$AN$169, "Y") + COUNTIFS('Data - Taxa'!AC$3:AC$169, "Y", 'Data - Taxa'!$AN$3:$AN$169, "", 'Data - Taxa'!$AY$3:$AY$169, "Y")</f>
        <v>0</v>
      </c>
      <c r="K29">
        <f>COUNTIFS('Data - Taxa'!AC$3:AC$169, "Y", 'Data - Taxa'!$AM$3:$AM$169, "Y")+COUNTIFS('Data - Taxa'!AC$3:AC$169, "Y", 'Data - Taxa'!$AN$3:$AN$169, "Y")</f>
        <v>0</v>
      </c>
    </row>
    <row r="30" spans="1:13" x14ac:dyDescent="0.35">
      <c r="A30" s="158" t="s">
        <v>484</v>
      </c>
      <c r="B30">
        <f>COUNTIFS('Data - Taxa'!AD$3:AD$169, "Y", 'Data - Taxa'!$B$3:$B$169, "Bilateralomorpha")</f>
        <v>0</v>
      </c>
      <c r="C30">
        <f>COUNTIFS('Data - Taxa'!AD$3:AD$169, "Y", 'Data - Taxa'!$B$3:$B$169, "Dickinsoniomorpha")</f>
        <v>0</v>
      </c>
      <c r="D30">
        <f>COUNTIFS('Data - Taxa'!AD$3:AD$169, "Y", 'Data - Taxa'!$B$3:$B$169, "Kimberellamorpha")</f>
        <v>0</v>
      </c>
      <c r="E30">
        <f>COUNTIFS('Data - Taxa'!AD$3:AD$169, "Y", 'Data - Taxa'!$AT$3:$AT$169, "Y")</f>
        <v>0</v>
      </c>
      <c r="F30" s="20">
        <f>COUNTIF('Data - Taxa'!AD170, "Y")</f>
        <v>0</v>
      </c>
      <c r="G30">
        <f>COUNTIFS('Data - Taxa'!AD$3:AD$169, "Y", 'Data - Taxa'!$B$3:$B$169, "Complex discoidal", 'Data - Taxa'!$AM$3:$AM$169, "Y")+COUNTIFS('Data - Taxa'!AD$3:AD$169, "Y", 'Data - Taxa'!$B$3:$B$169, "Complex discoidal", 'Data - Taxa'!$AN$3:$AN$169, "Y")</f>
        <v>0</v>
      </c>
      <c r="H30">
        <f>COUNTIFS('Data - Taxa'!AD$3:AD$169, "Y", 'Data - Taxa'!$B$3:$B$169, "Bilateralomorpha", 'Data - Taxa'!$AM$3:$AM$169, "Y")+COUNTIFS('Data - Taxa'!AD$3:AD$169, "Y", 'Data - Taxa'!$B$3:$B$169, "Bilateralomorpha", 'Data - Taxa'!$AN$3:$AN$169, "Y")</f>
        <v>0</v>
      </c>
      <c r="I30">
        <f>COUNTIFS('Data - Taxa'!AD$3:AD$169, "Y", 'Data - Taxa'!$B$3:$B$169, "Tubular", 'Data - Taxa'!$AM$3:$AM$169, "Y")+COUNTIFS('Data - Taxa'!AD$3:AD$169, "Y", 'Data - Taxa'!$B$3:$B$169, "Tubular", 'Data - Taxa'!$AN$3:$AN$169, "Y")</f>
        <v>0</v>
      </c>
      <c r="J30">
        <f>COUNTIFS('Data - Taxa'!AD$3:AD$169, "Y", 'Data - Taxa'!$AM$3:$AM$169, "Y") + COUNTIFS('Data - Taxa'!AD$3:AD$169, "Y", 'Data - Taxa'!$AM$3:$AM$169, "", 'Data - Taxa'!$AY$3:$AY$169, "Y")+COUNTIFS('Data - Taxa'!AD$3:AD$169, "Y", 'Data - Taxa'!$AN$3:$AN$169, "Y") + COUNTIFS('Data - Taxa'!AD$3:AD$169, "Y", 'Data - Taxa'!$AN$3:$AN$169, "", 'Data - Taxa'!$AY$3:$AY$169, "Y")</f>
        <v>4</v>
      </c>
      <c r="K30">
        <f>COUNTIFS('Data - Taxa'!AD$3:AD$169, "Y", 'Data - Taxa'!$AM$3:$AM$169, "Y")+COUNTIFS('Data - Taxa'!AD$3:AD$169, "Y", 'Data - Taxa'!$AN$3:$AN$169, "Y")</f>
        <v>0</v>
      </c>
    </row>
    <row r="31" spans="1:13" x14ac:dyDescent="0.35">
      <c r="A31" s="160" t="s">
        <v>485</v>
      </c>
      <c r="B31">
        <f>COUNTIFS('Data - Taxa'!AE$3:AE$169, "Y", 'Data - Taxa'!$B$3:$B$169, "Bilateralomorpha")</f>
        <v>0</v>
      </c>
      <c r="C31">
        <f>COUNTIFS('Data - Taxa'!AE$3:AE$169, "Y", 'Data - Taxa'!$B$3:$B$169, "Dickinsoniomorpha")</f>
        <v>0</v>
      </c>
      <c r="D31">
        <f>COUNTIFS('Data - Taxa'!AE$3:AE$169, "Y", 'Data - Taxa'!$B$3:$B$169, "Kimberellamorpha")</f>
        <v>0</v>
      </c>
      <c r="E31">
        <f>COUNTIFS('Data - Taxa'!AE$3:AE$169, "Y", 'Data - Taxa'!$AT$3:$AT$169, "Y")</f>
        <v>0</v>
      </c>
      <c r="F31" s="20">
        <f>COUNTIF('Data - Taxa'!AE170, "Y")</f>
        <v>0</v>
      </c>
      <c r="G31">
        <f>COUNTIFS('Data - Taxa'!AE$3:AE$169, "Y", 'Data - Taxa'!$B$3:$B$169, "Complex discoidal", 'Data - Taxa'!$AM$3:$AM$169, "Y")+COUNTIFS('Data - Taxa'!AE$3:AE$169, "Y", 'Data - Taxa'!$B$3:$B$169, "Complex discoidal", 'Data - Taxa'!$AN$3:$AN$169, "Y")</f>
        <v>0</v>
      </c>
      <c r="H31">
        <f>COUNTIFS('Data - Taxa'!AE$3:AE$169, "Y", 'Data - Taxa'!$B$3:$B$169, "Bilateralomorpha", 'Data - Taxa'!$AM$3:$AM$169, "Y")+COUNTIFS('Data - Taxa'!AE$3:AE$169, "Y", 'Data - Taxa'!$B$3:$B$169, "Bilateralomorpha", 'Data - Taxa'!$AN$3:$AN$169, "Y")</f>
        <v>0</v>
      </c>
      <c r="I31">
        <f>COUNTIFS('Data - Taxa'!AE$3:AE$169, "Y", 'Data - Taxa'!$B$3:$B$169, "Tubular", 'Data - Taxa'!$AM$3:$AM$169, "Y")+COUNTIFS('Data - Taxa'!AE$3:AE$169, "Y", 'Data - Taxa'!$B$3:$B$169, "Tubular", 'Data - Taxa'!$AN$3:$AN$169, "Y")</f>
        <v>0</v>
      </c>
      <c r="J31">
        <f>COUNTIFS('Data - Taxa'!AE$3:AE$169, "Y", 'Data - Taxa'!$AM$3:$AM$169, "Y") + COUNTIFS('Data - Taxa'!AE$3:AE$169, "Y", 'Data - Taxa'!$AM$3:$AM$169, "", 'Data - Taxa'!$AY$3:$AY$169, "Y")+COUNTIFS('Data - Taxa'!AE$3:AE$169, "Y", 'Data - Taxa'!$AN$3:$AN$169, "Y") + COUNTIFS('Data - Taxa'!AE$3:AE$169, "Y", 'Data - Taxa'!$AN$3:$AN$169, "", 'Data - Taxa'!$AY$3:$AY$169, "Y")</f>
        <v>2</v>
      </c>
      <c r="K31">
        <f>COUNTIFS('Data - Taxa'!AE$3:AE$169, "Y", 'Data - Taxa'!$AM$3:$AM$169, "Y")+COUNTIFS('Data - Taxa'!AE$3:AE$169, "Y", 'Data - Taxa'!$AN$3:$AN$169, "Y")</f>
        <v>0</v>
      </c>
    </row>
    <row r="32" spans="1:13" x14ac:dyDescent="0.35">
      <c r="A32" s="160" t="s">
        <v>486</v>
      </c>
      <c r="B32">
        <f>COUNTIFS('Data - Taxa'!AF$3:AF$169, "Y", 'Data - Taxa'!$B$3:$B$169, "Bilateralomorpha")</f>
        <v>1</v>
      </c>
      <c r="C32">
        <f>COUNTIFS('Data - Taxa'!AF$3:AF$169, "Y", 'Data - Taxa'!$B$3:$B$169, "Dickinsoniomorpha")</f>
        <v>0</v>
      </c>
      <c r="D32">
        <f>COUNTIFS('Data - Taxa'!AF$3:AF$169, "Y", 'Data - Taxa'!$B$3:$B$169, "Kimberellamorpha")</f>
        <v>0</v>
      </c>
      <c r="E32">
        <f>COUNTIFS('Data - Taxa'!AF$3:AF$169, "Y", 'Data - Taxa'!$AT$3:$AT$169, "Y")</f>
        <v>1</v>
      </c>
      <c r="F32" s="20">
        <f>COUNTIF('Data - Taxa'!AF170, "Y")</f>
        <v>0</v>
      </c>
      <c r="G32">
        <f>COUNTIFS('Data - Taxa'!AF$3:AF$169, "Y", 'Data - Taxa'!$B$3:$B$169, "Complex discoidal", 'Data - Taxa'!$AM$3:$AM$169, "Y")+COUNTIFS('Data - Taxa'!AF$3:AF$169, "Y", 'Data - Taxa'!$B$3:$B$169, "Complex discoidal", 'Data - Taxa'!$AN$3:$AN$169, "Y")</f>
        <v>0</v>
      </c>
      <c r="H32">
        <f>COUNTIFS('Data - Taxa'!AF$3:AF$169, "Y", 'Data - Taxa'!$B$3:$B$169, "Bilateralomorpha", 'Data - Taxa'!$AM$3:$AM$169, "Y")+COUNTIFS('Data - Taxa'!AF$3:AF$169, "Y", 'Data - Taxa'!$B$3:$B$169, "Bilateralomorpha", 'Data - Taxa'!$AN$3:$AN$169, "Y")</f>
        <v>1</v>
      </c>
      <c r="I32">
        <f>COUNTIFS('Data - Taxa'!AF$3:AF$169, "Y", 'Data - Taxa'!$B$3:$B$169, "Tubular", 'Data - Taxa'!$AM$3:$AM$169, "Y")+COUNTIFS('Data - Taxa'!AF$3:AF$169, "Y", 'Data - Taxa'!$B$3:$B$169, "Tubular", 'Data - Taxa'!$AN$3:$AN$169, "Y")</f>
        <v>1</v>
      </c>
      <c r="J32">
        <f>COUNTIFS('Data - Taxa'!AF$3:AF$169, "Y", 'Data - Taxa'!$AM$3:$AM$169, "Y") + COUNTIFS('Data - Taxa'!AF$3:AF$169, "Y", 'Data - Taxa'!$AM$3:$AM$169, "", 'Data - Taxa'!$AY$3:$AY$169, "Y")+COUNTIFS('Data - Taxa'!AF$3:AF$169, "Y", 'Data - Taxa'!$AN$3:$AN$169, "Y") + COUNTIFS('Data - Taxa'!AF$3:AF$169, "Y", 'Data - Taxa'!$AN$3:$AN$169, "", 'Data - Taxa'!$AY$3:$AY$169, "Y")</f>
        <v>3</v>
      </c>
      <c r="K32">
        <f>COUNTIFS('Data - Taxa'!AF$3:AF$169, "Y", 'Data - Taxa'!$AM$3:$AM$169, "Y")+COUNTIFS('Data - Taxa'!AF$3:AF$169, "Y", 'Data - Taxa'!$AN$3:$AN$169, "Y")</f>
        <v>2</v>
      </c>
    </row>
    <row r="33" spans="1:13" x14ac:dyDescent="0.35">
      <c r="A33" s="160" t="s">
        <v>487</v>
      </c>
      <c r="B33">
        <f>COUNTIFS('Data - Taxa'!AG$3:AG$169, "Y", 'Data - Taxa'!$B$3:$B$169, "Bilateralomorpha")</f>
        <v>0</v>
      </c>
      <c r="C33">
        <f>COUNTIFS('Data - Taxa'!AG$3:AG$169, "Y", 'Data - Taxa'!$B$3:$B$169, "Dickinsoniomorpha")</f>
        <v>0</v>
      </c>
      <c r="D33">
        <f>COUNTIFS('Data - Taxa'!AG$3:AG$169, "Y", 'Data - Taxa'!$B$3:$B$169, "Kimberellamorpha")</f>
        <v>0</v>
      </c>
      <c r="E33">
        <f>COUNTIFS('Data - Taxa'!AG$3:AG$169, "Y", 'Data - Taxa'!$AT$3:$AT$169, "Y")</f>
        <v>0</v>
      </c>
      <c r="F33" s="20">
        <f>COUNTIF('Data - Taxa'!AG170, "Y")</f>
        <v>0</v>
      </c>
      <c r="G33">
        <f>COUNTIFS('Data - Taxa'!AG$3:AG$169, "Y", 'Data - Taxa'!$B$3:$B$169, "Complex discoidal", 'Data - Taxa'!$AM$3:$AM$169, "Y")+COUNTIFS('Data - Taxa'!AG$3:AG$169, "Y", 'Data - Taxa'!$B$3:$B$169, "Complex discoidal", 'Data - Taxa'!$AN$3:$AN$169, "Y")</f>
        <v>0</v>
      </c>
      <c r="H33">
        <f>COUNTIFS('Data - Taxa'!AG$3:AG$169, "Y", 'Data - Taxa'!$B$3:$B$169, "Bilateralomorpha", 'Data - Taxa'!$AM$3:$AM$169, "Y")+COUNTIFS('Data - Taxa'!AG$3:AG$169, "Y", 'Data - Taxa'!$B$3:$B$169, "Bilateralomorpha", 'Data - Taxa'!$AN$3:$AN$169, "Y")</f>
        <v>0</v>
      </c>
      <c r="I33">
        <f>COUNTIFS('Data - Taxa'!AG$3:AG$169, "Y", 'Data - Taxa'!$B$3:$B$169, "Tubular", 'Data - Taxa'!$AM$3:$AM$169, "Y")+COUNTIFS('Data - Taxa'!AG$3:AG$169, "Y", 'Data - Taxa'!$B$3:$B$169, "Tubular", 'Data - Taxa'!$AN$3:$AN$169, "Y")</f>
        <v>3</v>
      </c>
      <c r="J33">
        <f>COUNTIFS('Data - Taxa'!AG$3:AG$169, "Y", 'Data - Taxa'!$AM$3:$AM$169, "Y") + COUNTIFS('Data - Taxa'!AG$3:AG$169, "Y", 'Data - Taxa'!$AM$3:$AM$169, "", 'Data - Taxa'!$AY$3:$AY$169, "Y")+COUNTIFS('Data - Taxa'!AG$3:AG$169, "Y", 'Data - Taxa'!$AN$3:$AN$169, "Y") + COUNTIFS('Data - Taxa'!AG$3:AG$169, "Y", 'Data - Taxa'!$AN$3:$AN$169, "", 'Data - Taxa'!$AY$3:$AY$169, "Y")</f>
        <v>6</v>
      </c>
      <c r="K33">
        <f>COUNTIFS('Data - Taxa'!AG$3:AG$169, "Y", 'Data - Taxa'!$AM$3:$AM$169, "Y")+COUNTIFS('Data - Taxa'!AG$3:AG$169, "Y", 'Data - Taxa'!$AN$3:$AN$169, "Y")</f>
        <v>3</v>
      </c>
      <c r="M33" t="s">
        <v>451</v>
      </c>
    </row>
  </sheetData>
  <mergeCells count="2">
    <mergeCell ref="G1:K1"/>
    <mergeCell ref="B1:F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5"/>
  <sheetViews>
    <sheetView zoomScale="70" zoomScaleNormal="70" workbookViewId="0"/>
  </sheetViews>
  <sheetFormatPr defaultRowHeight="14.5" x14ac:dyDescent="0.35"/>
  <cols>
    <col min="1" max="1" width="51.1796875" style="41" customWidth="1"/>
    <col min="2" max="2" width="8.81640625" style="4"/>
    <col min="9" max="9" width="8.81640625" style="20"/>
    <col min="10" max="10" width="8.81640625" style="4"/>
    <col min="17" max="18" width="8.81640625" style="6"/>
  </cols>
  <sheetData>
    <row r="1" spans="1:17" x14ac:dyDescent="0.35">
      <c r="A1" s="126"/>
      <c r="B1" s="209" t="s">
        <v>429</v>
      </c>
      <c r="C1" s="209"/>
      <c r="D1" s="209"/>
      <c r="E1" s="209"/>
      <c r="F1" s="209"/>
      <c r="G1" s="209"/>
      <c r="H1" s="209"/>
      <c r="I1" s="210"/>
      <c r="J1" s="211" t="s">
        <v>412</v>
      </c>
      <c r="K1" s="212"/>
      <c r="L1" s="212"/>
      <c r="M1" s="212"/>
      <c r="N1" s="212"/>
      <c r="O1" s="212"/>
      <c r="P1" s="212"/>
      <c r="Q1" s="212"/>
    </row>
    <row r="2" spans="1:17" x14ac:dyDescent="0.35">
      <c r="A2" s="127"/>
      <c r="B2" s="213" t="s">
        <v>388</v>
      </c>
      <c r="C2" s="214"/>
      <c r="D2" s="209" t="s">
        <v>389</v>
      </c>
      <c r="E2" s="209"/>
      <c r="F2" s="215" t="s">
        <v>390</v>
      </c>
      <c r="G2" s="215"/>
      <c r="H2" s="216" t="s">
        <v>391</v>
      </c>
      <c r="I2" s="217"/>
      <c r="J2" s="218" t="s">
        <v>388</v>
      </c>
      <c r="K2" s="219"/>
      <c r="L2" s="220" t="s">
        <v>389</v>
      </c>
      <c r="M2" s="220"/>
      <c r="N2" s="221" t="s">
        <v>390</v>
      </c>
      <c r="O2" s="221"/>
      <c r="P2" s="222" t="s">
        <v>391</v>
      </c>
      <c r="Q2" s="222"/>
    </row>
    <row r="3" spans="1:17" x14ac:dyDescent="0.35">
      <c r="A3" s="125" t="s">
        <v>171</v>
      </c>
      <c r="B3" s="128" t="s">
        <v>326</v>
      </c>
      <c r="C3" s="129" t="s">
        <v>303</v>
      </c>
      <c r="D3" s="130" t="s">
        <v>326</v>
      </c>
      <c r="E3" s="130" t="s">
        <v>303</v>
      </c>
      <c r="F3" s="131" t="s">
        <v>326</v>
      </c>
      <c r="G3" s="131" t="s">
        <v>303</v>
      </c>
      <c r="H3" s="132" t="s">
        <v>326</v>
      </c>
      <c r="I3" s="132" t="s">
        <v>303</v>
      </c>
      <c r="J3" s="133" t="s">
        <v>326</v>
      </c>
      <c r="K3" s="134" t="s">
        <v>303</v>
      </c>
      <c r="L3" s="135" t="s">
        <v>326</v>
      </c>
      <c r="M3" s="135" t="s">
        <v>303</v>
      </c>
      <c r="N3" s="136" t="s">
        <v>326</v>
      </c>
      <c r="O3" s="136" t="s">
        <v>303</v>
      </c>
      <c r="P3" s="137" t="s">
        <v>326</v>
      </c>
      <c r="Q3" s="137" t="s">
        <v>303</v>
      </c>
    </row>
    <row r="4" spans="1:17" x14ac:dyDescent="0.35">
      <c r="A4" s="157" t="s">
        <v>460</v>
      </c>
      <c r="B4" s="4">
        <v>-78.60857</v>
      </c>
      <c r="C4">
        <v>-24.987159999999999</v>
      </c>
      <c r="D4" s="1">
        <v>-92.209140000000005</v>
      </c>
      <c r="E4" s="1">
        <v>-23.748069999999998</v>
      </c>
      <c r="F4" s="1">
        <v>-97.888050000000007</v>
      </c>
      <c r="G4" s="1">
        <v>-29.619430000000001</v>
      </c>
      <c r="H4" s="1">
        <v>-99.600059999999999</v>
      </c>
      <c r="I4" s="25">
        <v>-40.085839999999997</v>
      </c>
      <c r="J4" s="2">
        <v>-3.85276</v>
      </c>
      <c r="K4" s="1">
        <v>-56.940339999999999</v>
      </c>
      <c r="L4" s="1">
        <v>1.7226999999999999</v>
      </c>
      <c r="M4" s="1">
        <v>-58.773290000000003</v>
      </c>
      <c r="N4">
        <v>8.0944599999999998</v>
      </c>
      <c r="O4">
        <v>-60.05744</v>
      </c>
      <c r="P4">
        <v>15.02495</v>
      </c>
      <c r="Q4" s="6">
        <v>-60.713540000000002</v>
      </c>
    </row>
    <row r="5" spans="1:17" x14ac:dyDescent="0.35">
      <c r="A5" s="153" t="s">
        <v>461</v>
      </c>
      <c r="B5">
        <v>-70.772040000000004</v>
      </c>
      <c r="C5">
        <v>-12.91595</v>
      </c>
      <c r="D5">
        <v>-87.971299999999999</v>
      </c>
      <c r="E5">
        <v>-10.182230000000001</v>
      </c>
      <c r="F5">
        <v>-92.603849999999994</v>
      </c>
      <c r="G5">
        <v>-16.32058</v>
      </c>
      <c r="H5">
        <v>-87.784000000000006</v>
      </c>
      <c r="I5" s="20">
        <v>-29.73171</v>
      </c>
      <c r="J5">
        <v>9.7074599999999993</v>
      </c>
      <c r="K5">
        <v>-69.808109999999999</v>
      </c>
      <c r="L5">
        <v>22.087199999999999</v>
      </c>
      <c r="M5">
        <v>-70.050200000000004</v>
      </c>
      <c r="N5">
        <v>33.996009999999998</v>
      </c>
      <c r="O5">
        <v>-69.124499999999998</v>
      </c>
      <c r="P5">
        <v>44.159689999999998</v>
      </c>
      <c r="Q5">
        <v>-67.175979999999996</v>
      </c>
    </row>
    <row r="6" spans="1:17" x14ac:dyDescent="0.35">
      <c r="A6" s="153" t="s">
        <v>462</v>
      </c>
      <c r="B6">
        <v>-73.897009999999995</v>
      </c>
      <c r="C6">
        <v>-13.08052</v>
      </c>
      <c r="D6">
        <v>-90.930840000000003</v>
      </c>
      <c r="E6">
        <v>-11.09787</v>
      </c>
      <c r="F6">
        <v>-95.689480000000003</v>
      </c>
      <c r="G6">
        <v>-17.071200000000001</v>
      </c>
      <c r="H6">
        <v>-91.26397</v>
      </c>
      <c r="I6" s="20">
        <v>-29.365369999999999</v>
      </c>
      <c r="J6">
        <v>12.96475</v>
      </c>
      <c r="K6">
        <v>-67.003219999999999</v>
      </c>
      <c r="L6">
        <v>23.263529999999999</v>
      </c>
      <c r="M6">
        <v>-67.03125</v>
      </c>
      <c r="N6">
        <v>33.095799999999997</v>
      </c>
      <c r="O6">
        <v>-66.094440000000006</v>
      </c>
      <c r="P6">
        <v>41.676580000000001</v>
      </c>
      <c r="Q6">
        <v>-64.3018</v>
      </c>
    </row>
    <row r="7" spans="1:17" x14ac:dyDescent="0.35">
      <c r="A7" s="153" t="s">
        <v>463</v>
      </c>
      <c r="B7" s="4">
        <v>-105.72998</v>
      </c>
      <c r="C7">
        <v>17.569949999999999</v>
      </c>
      <c r="D7" s="1">
        <v>-109.80065999999999</v>
      </c>
      <c r="E7" s="1">
        <v>20.660250000000001</v>
      </c>
      <c r="F7" s="1">
        <v>-112.68405</v>
      </c>
      <c r="G7" s="1">
        <v>18.072109999999999</v>
      </c>
      <c r="H7" s="1">
        <v>-115.09236</v>
      </c>
      <c r="I7" s="25">
        <v>15.11055</v>
      </c>
      <c r="J7" s="2">
        <v>-19.989660000000001</v>
      </c>
      <c r="K7" s="1">
        <v>-21.095800000000001</v>
      </c>
      <c r="L7" s="1">
        <v>-19.101500000000001</v>
      </c>
      <c r="M7" s="1">
        <v>-25.902819999999998</v>
      </c>
      <c r="N7">
        <v>-17.81315</v>
      </c>
      <c r="O7">
        <v>-30.644559999999998</v>
      </c>
      <c r="P7">
        <v>-16.056039999999999</v>
      </c>
      <c r="Q7" s="6">
        <v>-35.292119999999997</v>
      </c>
    </row>
    <row r="8" spans="1:17" x14ac:dyDescent="0.35">
      <c r="A8" s="153" t="s">
        <v>464</v>
      </c>
      <c r="B8" s="4">
        <v>-107.2269</v>
      </c>
      <c r="C8">
        <v>4.6197900000000001</v>
      </c>
      <c r="D8" s="1">
        <v>-111.05606</v>
      </c>
      <c r="E8" s="1">
        <v>7.6841200000000001</v>
      </c>
      <c r="F8" s="1">
        <v>-111.98133</v>
      </c>
      <c r="G8" s="1">
        <v>5.05741</v>
      </c>
      <c r="H8" s="1">
        <v>-112.52058</v>
      </c>
      <c r="I8" s="25">
        <v>2.32694</v>
      </c>
      <c r="J8" s="2">
        <v>-12.34417</v>
      </c>
      <c r="K8" s="1">
        <v>-32.205829999999999</v>
      </c>
      <c r="L8" s="1">
        <v>-10.15945</v>
      </c>
      <c r="M8" s="1">
        <v>-36.472450000000002</v>
      </c>
      <c r="N8">
        <v>-7.3716900000000001</v>
      </c>
      <c r="O8">
        <v>-40.559370000000001</v>
      </c>
      <c r="P8">
        <v>-3.8747099999999999</v>
      </c>
      <c r="Q8" s="6">
        <v>-44.408200000000001</v>
      </c>
    </row>
    <row r="9" spans="1:17" x14ac:dyDescent="0.35">
      <c r="A9" s="153" t="s">
        <v>465</v>
      </c>
      <c r="B9" s="4">
        <v>117.72405000000001</v>
      </c>
      <c r="C9">
        <v>6.9788199999999998</v>
      </c>
      <c r="D9" s="1">
        <v>119.35903999999999</v>
      </c>
      <c r="E9" s="1">
        <v>8.8567300000000007</v>
      </c>
      <c r="F9" s="1">
        <v>121.1947</v>
      </c>
      <c r="G9" s="1">
        <v>10.55129</v>
      </c>
      <c r="H9" s="1">
        <v>123.21408</v>
      </c>
      <c r="I9" s="25">
        <v>12.040749999999999</v>
      </c>
      <c r="J9" s="2">
        <v>-162.14413999999999</v>
      </c>
      <c r="K9" s="1">
        <v>17.117039999999999</v>
      </c>
      <c r="L9" s="1">
        <v>-162.48009999999999</v>
      </c>
      <c r="M9" s="1">
        <v>16.78237</v>
      </c>
      <c r="N9">
        <v>-162.83751000000001</v>
      </c>
      <c r="O9">
        <v>16.469339999999999</v>
      </c>
      <c r="P9">
        <v>-163.21483000000001</v>
      </c>
      <c r="Q9" s="6">
        <v>16.17925</v>
      </c>
    </row>
    <row r="10" spans="1:17" x14ac:dyDescent="0.35">
      <c r="A10" s="153" t="s">
        <v>466</v>
      </c>
      <c r="B10" s="4">
        <v>117.9434</v>
      </c>
      <c r="C10">
        <v>7.0892900000000001</v>
      </c>
      <c r="D10" s="1">
        <v>119.57952</v>
      </c>
      <c r="E10" s="1">
        <v>8.9669600000000003</v>
      </c>
      <c r="F10" s="1">
        <v>121.41656999999999</v>
      </c>
      <c r="G10" s="1">
        <v>10.661009999999999</v>
      </c>
      <c r="H10" s="1">
        <v>123.43752000000001</v>
      </c>
      <c r="I10" s="25">
        <v>12.14968</v>
      </c>
      <c r="J10" s="2">
        <v>-161.89142000000001</v>
      </c>
      <c r="K10" s="1">
        <v>17.081720000000001</v>
      </c>
      <c r="L10" s="1">
        <v>-162.23077000000001</v>
      </c>
      <c r="M10" s="1">
        <v>16.731390000000001</v>
      </c>
      <c r="N10">
        <v>-162.59259</v>
      </c>
      <c r="O10">
        <v>16.402930000000001</v>
      </c>
      <c r="P10">
        <v>-162.97529</v>
      </c>
      <c r="Q10" s="6">
        <v>16.097709999999999</v>
      </c>
    </row>
    <row r="11" spans="1:17" x14ac:dyDescent="0.35">
      <c r="A11" s="153" t="s">
        <v>467</v>
      </c>
      <c r="B11" s="4">
        <v>100.85411999999999</v>
      </c>
      <c r="C11">
        <v>5.4805099999999998</v>
      </c>
      <c r="D11" s="1">
        <v>102.27119</v>
      </c>
      <c r="E11" s="1">
        <v>7.53538</v>
      </c>
      <c r="F11" s="1">
        <v>103.74014</v>
      </c>
      <c r="G11" s="1">
        <v>9.6888299999999994</v>
      </c>
      <c r="H11" s="1">
        <v>105.41379999999999</v>
      </c>
      <c r="I11" s="25">
        <v>11.68219</v>
      </c>
      <c r="J11" s="2">
        <v>-178.04862</v>
      </c>
      <c r="K11" s="1">
        <v>25.119219999999999</v>
      </c>
      <c r="L11" s="1">
        <v>-177.79347000000001</v>
      </c>
      <c r="M11" s="1">
        <v>25.758839999999999</v>
      </c>
      <c r="N11">
        <v>-177.48885000000001</v>
      </c>
      <c r="O11">
        <v>26.3812</v>
      </c>
      <c r="P11">
        <v>-177.13538</v>
      </c>
      <c r="Q11" s="6">
        <v>26.983239999999999</v>
      </c>
    </row>
    <row r="12" spans="1:17" x14ac:dyDescent="0.35">
      <c r="A12" s="153" t="s">
        <v>544</v>
      </c>
      <c r="B12" s="4">
        <v>111.91882</v>
      </c>
      <c r="C12">
        <v>8.9637100000000007</v>
      </c>
      <c r="D12" s="1">
        <v>113.48618999999999</v>
      </c>
      <c r="E12" s="1">
        <v>10.698510000000001</v>
      </c>
      <c r="F12" s="1">
        <v>115.20291</v>
      </c>
      <c r="G12" s="1">
        <v>12.12299</v>
      </c>
      <c r="H12" s="1">
        <v>117.08457</v>
      </c>
      <c r="I12" s="25">
        <v>13.3573</v>
      </c>
      <c r="J12" s="2">
        <v>-165.93720999999999</v>
      </c>
      <c r="K12" s="1">
        <v>22.03922</v>
      </c>
      <c r="L12" s="1">
        <v>-165.91377</v>
      </c>
      <c r="M12" s="1">
        <v>21.930520000000001</v>
      </c>
      <c r="N12">
        <v>-165.89831000000001</v>
      </c>
      <c r="O12">
        <v>21.820599999999999</v>
      </c>
      <c r="P12">
        <v>-165.89087000000001</v>
      </c>
      <c r="Q12" s="6">
        <v>21.709959999999999</v>
      </c>
    </row>
    <row r="13" spans="1:17" x14ac:dyDescent="0.35">
      <c r="A13" s="153" t="s">
        <v>468</v>
      </c>
      <c r="B13" s="4">
        <v>-59.803269999999998</v>
      </c>
      <c r="C13">
        <v>-29.77974</v>
      </c>
      <c r="D13" s="1">
        <v>-73.226429999999993</v>
      </c>
      <c r="E13" s="1">
        <v>-23.976590000000002</v>
      </c>
      <c r="F13" s="1">
        <v>-77.836730000000003</v>
      </c>
      <c r="G13" s="1">
        <v>-30.66883</v>
      </c>
      <c r="H13" s="1">
        <v>-77.948239999999998</v>
      </c>
      <c r="I13" s="25">
        <v>-47.908670000000001</v>
      </c>
      <c r="J13" s="2">
        <v>-36.928049999999999</v>
      </c>
      <c r="K13" s="1">
        <v>-62.400019999999998</v>
      </c>
      <c r="L13" s="1">
        <v>-32.666719999999998</v>
      </c>
      <c r="M13" s="1">
        <v>-66.798370000000006</v>
      </c>
      <c r="N13">
        <v>-25.770980000000002</v>
      </c>
      <c r="O13">
        <v>-70.863069999999993</v>
      </c>
      <c r="P13">
        <v>-14.742610000000001</v>
      </c>
      <c r="Q13" s="6">
        <v>-74.313490000000002</v>
      </c>
    </row>
    <row r="14" spans="1:17" x14ac:dyDescent="0.35">
      <c r="A14" s="153" t="s">
        <v>469</v>
      </c>
      <c r="B14" s="4">
        <v>-143.2148</v>
      </c>
      <c r="C14">
        <v>11.70115</v>
      </c>
      <c r="D14" s="1">
        <v>-150.74689000000001</v>
      </c>
      <c r="E14" s="1">
        <v>11.49207</v>
      </c>
      <c r="F14" s="1">
        <v>-149.40298000000001</v>
      </c>
      <c r="G14" s="1">
        <v>6.5610999999999997</v>
      </c>
      <c r="H14" s="1">
        <v>-148.50191000000001</v>
      </c>
      <c r="I14" s="25">
        <v>1.5344199999999999</v>
      </c>
      <c r="J14" s="2">
        <v>-75.508409999999998</v>
      </c>
      <c r="K14" s="1">
        <v>-22.290780000000002</v>
      </c>
      <c r="L14" s="1">
        <v>-77.552599999999998</v>
      </c>
      <c r="M14" s="1">
        <v>-29.889040000000001</v>
      </c>
      <c r="N14">
        <v>-79.715459999999993</v>
      </c>
      <c r="O14">
        <v>-37.496160000000003</v>
      </c>
      <c r="P14">
        <v>-82.123459999999994</v>
      </c>
      <c r="Q14" s="6">
        <v>-45.101349999999996</v>
      </c>
    </row>
    <row r="15" spans="1:17" x14ac:dyDescent="0.35">
      <c r="A15" s="153" t="s">
        <v>470</v>
      </c>
      <c r="B15" s="4">
        <v>-143.21512000000001</v>
      </c>
      <c r="C15">
        <v>11.701499999999999</v>
      </c>
      <c r="D15" s="1">
        <v>-150.74726000000001</v>
      </c>
      <c r="E15" s="1">
        <v>11.49236</v>
      </c>
      <c r="F15" s="1">
        <v>-149.40333000000001</v>
      </c>
      <c r="G15" s="1">
        <v>6.56142</v>
      </c>
      <c r="H15" s="1">
        <v>-148.50221999999999</v>
      </c>
      <c r="I15" s="25">
        <v>1.5347599999999999</v>
      </c>
      <c r="J15" s="2">
        <v>-75.508719999999997</v>
      </c>
      <c r="K15" s="1">
        <v>-22.290410000000001</v>
      </c>
      <c r="L15" s="1">
        <v>-77.552940000000007</v>
      </c>
      <c r="M15" s="1">
        <v>-29.888670000000001</v>
      </c>
      <c r="N15">
        <v>-79.715819999999994</v>
      </c>
      <c r="O15">
        <v>-37.495800000000003</v>
      </c>
      <c r="P15">
        <v>-82.123869999999997</v>
      </c>
      <c r="Q15" s="6">
        <v>-45.10098</v>
      </c>
    </row>
    <row r="16" spans="1:17" x14ac:dyDescent="0.35">
      <c r="A16" s="153" t="s">
        <v>471</v>
      </c>
      <c r="B16" s="4">
        <v>-152.68265</v>
      </c>
      <c r="C16">
        <v>10.18594</v>
      </c>
      <c r="D16" s="1">
        <v>-159.73528999999999</v>
      </c>
      <c r="E16" s="1">
        <v>8.2811199999999996</v>
      </c>
      <c r="F16" s="1">
        <v>-158.55852999999999</v>
      </c>
      <c r="G16" s="1">
        <v>4.1908200000000004</v>
      </c>
      <c r="H16" s="1">
        <v>-157.79575</v>
      </c>
      <c r="I16" s="25">
        <v>5.4200000000000003E-3</v>
      </c>
      <c r="J16" s="2">
        <v>-85.691069999999996</v>
      </c>
      <c r="K16" s="1">
        <v>-22.85744</v>
      </c>
      <c r="L16" s="1">
        <v>-88.431280000000001</v>
      </c>
      <c r="M16" s="1">
        <v>-30.397770000000001</v>
      </c>
      <c r="N16">
        <v>-91.614289999999997</v>
      </c>
      <c r="O16">
        <v>-37.87603</v>
      </c>
      <c r="P16">
        <v>-95.497190000000003</v>
      </c>
      <c r="Q16" s="6">
        <v>-45.254519999999999</v>
      </c>
    </row>
    <row r="17" spans="1:17" x14ac:dyDescent="0.35">
      <c r="A17" s="153" t="s">
        <v>472</v>
      </c>
      <c r="B17" s="4">
        <v>-41.208089999999999</v>
      </c>
      <c r="C17">
        <v>-64.889380000000003</v>
      </c>
      <c r="D17" s="1">
        <v>-38.13993</v>
      </c>
      <c r="E17" s="1">
        <v>-66.179100000000005</v>
      </c>
      <c r="F17" s="1">
        <v>-33.337139999999998</v>
      </c>
      <c r="G17" s="1">
        <v>-68.035899999999998</v>
      </c>
      <c r="H17" s="1">
        <v>-28.171500000000002</v>
      </c>
      <c r="I17" s="25">
        <v>-69.318340000000006</v>
      </c>
      <c r="J17" s="2">
        <v>40.712020000000003</v>
      </c>
      <c r="K17" s="1">
        <v>-86.095129999999997</v>
      </c>
      <c r="L17" s="1">
        <v>69.150930000000002</v>
      </c>
      <c r="M17" s="1">
        <v>-83.636480000000006</v>
      </c>
      <c r="N17">
        <v>79.960369999999998</v>
      </c>
      <c r="O17">
        <v>-80.489559999999997</v>
      </c>
      <c r="P17">
        <v>84.908709999999999</v>
      </c>
      <c r="Q17" s="6">
        <v>-77.150729999999996</v>
      </c>
    </row>
    <row r="18" spans="1:17" x14ac:dyDescent="0.35">
      <c r="A18" s="153" t="s">
        <v>489</v>
      </c>
      <c r="B18" s="4">
        <v>-168.26464999999999</v>
      </c>
      <c r="C18">
        <v>11.00433</v>
      </c>
      <c r="D18" s="1">
        <v>-175.08206000000001</v>
      </c>
      <c r="E18" s="1">
        <v>6.3920899999999996</v>
      </c>
      <c r="F18" s="1">
        <v>-173.93201999999999</v>
      </c>
      <c r="G18" s="1">
        <v>3.94699</v>
      </c>
      <c r="H18" s="1">
        <v>-173.07129</v>
      </c>
      <c r="I18" s="25">
        <v>1.3874899999999999</v>
      </c>
      <c r="J18" s="2">
        <v>-103.70435000000001</v>
      </c>
      <c r="K18" s="1">
        <v>-17.41704</v>
      </c>
      <c r="L18" s="1">
        <v>-107.2092</v>
      </c>
      <c r="M18" s="1">
        <v>-24.254439999999999</v>
      </c>
      <c r="N18">
        <v>-111.42287</v>
      </c>
      <c r="O18">
        <v>-30.852509999999999</v>
      </c>
      <c r="P18">
        <v>-116.57056</v>
      </c>
      <c r="Q18" s="6">
        <v>-37.120649999999998</v>
      </c>
    </row>
    <row r="19" spans="1:17" x14ac:dyDescent="0.35">
      <c r="A19" s="153" t="s">
        <v>473</v>
      </c>
      <c r="B19" s="4">
        <v>54.741190000000003</v>
      </c>
      <c r="C19">
        <v>-31.19378</v>
      </c>
      <c r="D19" s="1">
        <v>53.812750000000001</v>
      </c>
      <c r="E19" s="1">
        <v>-24.190950000000001</v>
      </c>
      <c r="F19" s="1">
        <v>53.010669999999998</v>
      </c>
      <c r="G19" s="1">
        <v>-15.982659999999999</v>
      </c>
      <c r="H19" s="1">
        <v>52.553840000000001</v>
      </c>
      <c r="I19" s="25">
        <v>-7.7471300000000003</v>
      </c>
      <c r="J19" s="2">
        <v>155.35445999999999</v>
      </c>
      <c r="K19" s="1">
        <v>-7.2529199999999996</v>
      </c>
      <c r="L19" s="1">
        <v>153.62343999999999</v>
      </c>
      <c r="M19" s="1">
        <v>-5.0500699999999998</v>
      </c>
      <c r="N19">
        <v>152.00879</v>
      </c>
      <c r="O19">
        <v>-2.7654299999999998</v>
      </c>
      <c r="P19">
        <v>150.50839999999999</v>
      </c>
      <c r="Q19" s="6">
        <v>-0.40639999999999998</v>
      </c>
    </row>
    <row r="20" spans="1:17" x14ac:dyDescent="0.35">
      <c r="A20" s="153" t="s">
        <v>474</v>
      </c>
      <c r="B20" s="4">
        <v>80.777339999999995</v>
      </c>
      <c r="C20">
        <v>-9.4408600000000007</v>
      </c>
      <c r="D20" s="1">
        <v>80.334490000000002</v>
      </c>
      <c r="E20" s="1">
        <v>-4.0190299999999999</v>
      </c>
      <c r="F20" s="1">
        <v>79.985709999999997</v>
      </c>
      <c r="G20" s="1">
        <v>2.68703</v>
      </c>
      <c r="H20" s="1">
        <v>80.309960000000004</v>
      </c>
      <c r="I20" s="25">
        <v>9.43431</v>
      </c>
      <c r="J20" s="2">
        <v>156.23231000000001</v>
      </c>
      <c r="K20" s="1">
        <v>32.883940000000003</v>
      </c>
      <c r="L20" s="1">
        <v>156.76535000000001</v>
      </c>
      <c r="M20" s="1">
        <v>34.986339999999998</v>
      </c>
      <c r="N20">
        <v>157.47278</v>
      </c>
      <c r="O20">
        <v>37.057169999999999</v>
      </c>
      <c r="P20">
        <v>158.36750000000001</v>
      </c>
      <c r="Q20" s="6">
        <v>39.086860000000001</v>
      </c>
    </row>
    <row r="21" spans="1:17" x14ac:dyDescent="0.35">
      <c r="A21" s="153" t="s">
        <v>475</v>
      </c>
      <c r="B21" s="4">
        <v>78.876649999999998</v>
      </c>
      <c r="C21">
        <v>-14.14204</v>
      </c>
      <c r="D21" s="1">
        <v>78.054739999999995</v>
      </c>
      <c r="E21" s="1">
        <v>-8.5388000000000002</v>
      </c>
      <c r="F21" s="1">
        <v>77.349369999999993</v>
      </c>
      <c r="G21" s="1">
        <v>-1.62738</v>
      </c>
      <c r="H21" s="1">
        <v>77.301950000000005</v>
      </c>
      <c r="I21" s="25">
        <v>5.3518699999999999</v>
      </c>
      <c r="J21" s="2">
        <v>162.1788</v>
      </c>
      <c r="K21" s="1">
        <v>33.832349999999998</v>
      </c>
      <c r="L21" s="1">
        <v>162.91293999999999</v>
      </c>
      <c r="M21" s="1">
        <v>35.616540000000001</v>
      </c>
      <c r="N21">
        <v>163.81065000000001</v>
      </c>
      <c r="O21">
        <v>37.356229999999996</v>
      </c>
      <c r="P21">
        <v>164.8801</v>
      </c>
      <c r="Q21" s="6">
        <v>39.041800000000002</v>
      </c>
    </row>
    <row r="22" spans="1:17" x14ac:dyDescent="0.35">
      <c r="A22" s="153" t="s">
        <v>476</v>
      </c>
      <c r="B22" s="4">
        <v>78.876649999999998</v>
      </c>
      <c r="C22">
        <v>-14.14204</v>
      </c>
      <c r="D22" s="1">
        <v>78.054739999999995</v>
      </c>
      <c r="E22" s="1">
        <v>-8.5388000000000002</v>
      </c>
      <c r="F22" s="1">
        <v>77.349369999999993</v>
      </c>
      <c r="G22" s="1">
        <v>-1.62738</v>
      </c>
      <c r="H22" s="1">
        <v>77.301950000000005</v>
      </c>
      <c r="I22" s="25">
        <v>5.3518699999999999</v>
      </c>
      <c r="J22" s="2">
        <v>162.1788</v>
      </c>
      <c r="K22" s="1">
        <v>33.832349999999998</v>
      </c>
      <c r="L22" s="1">
        <v>162.91293999999999</v>
      </c>
      <c r="M22" s="1">
        <v>35.616540000000001</v>
      </c>
      <c r="N22">
        <v>163.81065000000001</v>
      </c>
      <c r="O22">
        <v>37.356229999999996</v>
      </c>
      <c r="P22">
        <v>164.8801</v>
      </c>
      <c r="Q22" s="6">
        <v>39.041800000000002</v>
      </c>
    </row>
    <row r="23" spans="1:17" x14ac:dyDescent="0.35">
      <c r="A23" s="153" t="s">
        <v>477</v>
      </c>
      <c r="B23" s="4">
        <v>76.904499999999999</v>
      </c>
      <c r="C23">
        <v>-14.40615</v>
      </c>
      <c r="D23" s="1">
        <v>76.106110000000001</v>
      </c>
      <c r="E23" s="1">
        <v>-8.6396800000000002</v>
      </c>
      <c r="F23" s="1">
        <v>75.419910000000002</v>
      </c>
      <c r="G23" s="1">
        <v>-1.5752699999999999</v>
      </c>
      <c r="H23" s="1">
        <v>75.374300000000005</v>
      </c>
      <c r="I23" s="25">
        <v>5.5528399999999998</v>
      </c>
      <c r="J23" s="2">
        <v>163.61771999999999</v>
      </c>
      <c r="K23" s="1">
        <v>32.325980000000001</v>
      </c>
      <c r="L23" s="1">
        <v>164.25748999999999</v>
      </c>
      <c r="M23" s="1">
        <v>34.033940000000001</v>
      </c>
      <c r="N23">
        <v>165.04747</v>
      </c>
      <c r="O23">
        <v>35.70241</v>
      </c>
      <c r="P23">
        <v>165.99426</v>
      </c>
      <c r="Q23" s="6">
        <v>37.32255</v>
      </c>
    </row>
    <row r="24" spans="1:17" x14ac:dyDescent="0.35">
      <c r="A24" s="153" t="s">
        <v>478</v>
      </c>
      <c r="B24" s="4">
        <v>145.93268</v>
      </c>
      <c r="C24">
        <v>-53.73762</v>
      </c>
      <c r="D24" s="1">
        <v>137.9143</v>
      </c>
      <c r="E24" s="1">
        <v>-55.227849999999997</v>
      </c>
      <c r="F24" s="1">
        <v>129.34099000000001</v>
      </c>
      <c r="G24" s="1">
        <v>-55.848239999999997</v>
      </c>
      <c r="H24" s="1">
        <v>120.67827</v>
      </c>
      <c r="I24" s="25">
        <v>-55.55086</v>
      </c>
      <c r="J24" s="2">
        <v>-161.28708</v>
      </c>
      <c r="K24" s="1">
        <v>-43.917929999999998</v>
      </c>
      <c r="L24" s="1">
        <v>-166.17712</v>
      </c>
      <c r="M24" s="1">
        <v>-44.164009999999998</v>
      </c>
      <c r="N24">
        <v>-171.08608000000001</v>
      </c>
      <c r="O24">
        <v>-44.103119999999997</v>
      </c>
      <c r="P24">
        <v>-175.95153999999999</v>
      </c>
      <c r="Q24" s="6">
        <v>-43.73648</v>
      </c>
    </row>
    <row r="25" spans="1:17" x14ac:dyDescent="0.35">
      <c r="A25" s="153" t="s">
        <v>488</v>
      </c>
      <c r="B25" s="4">
        <v>89.047499999999999</v>
      </c>
      <c r="C25">
        <v>-26.4998</v>
      </c>
      <c r="D25" s="1">
        <v>86.644000000000005</v>
      </c>
      <c r="E25" s="1">
        <v>-21.5779</v>
      </c>
      <c r="F25" s="1">
        <v>84.495699999999999</v>
      </c>
      <c r="G25" s="1">
        <v>-15.3658</v>
      </c>
      <c r="H25" s="1">
        <v>83.154300000000006</v>
      </c>
      <c r="I25" s="25">
        <v>-8.9451699999999992</v>
      </c>
      <c r="J25" s="2">
        <v>168.071</v>
      </c>
      <c r="K25" s="1">
        <v>-6.8770300000000004</v>
      </c>
      <c r="L25" s="1">
        <v>166.298</v>
      </c>
      <c r="M25" s="1">
        <v>-5.3509399999999996</v>
      </c>
      <c r="N25">
        <v>164.61799999999999</v>
      </c>
      <c r="O25">
        <v>-3.72763</v>
      </c>
      <c r="P25">
        <v>163.035</v>
      </c>
      <c r="Q25" s="6">
        <v>-2.0138199999999999</v>
      </c>
    </row>
    <row r="26" spans="1:17" x14ac:dyDescent="0.35">
      <c r="A26" s="153" t="s">
        <v>479</v>
      </c>
      <c r="B26" s="4">
        <v>98.157899999999998</v>
      </c>
      <c r="C26">
        <v>-34.512700000000002</v>
      </c>
      <c r="D26" s="1">
        <v>94.332400000000007</v>
      </c>
      <c r="E26" s="1">
        <v>-30.409500000000001</v>
      </c>
      <c r="F26" s="1">
        <v>90.752799999999993</v>
      </c>
      <c r="G26" s="1">
        <v>-24.914999999999999</v>
      </c>
      <c r="H26" s="1">
        <v>88.165700000000001</v>
      </c>
      <c r="I26" s="25">
        <v>-19.045000000000002</v>
      </c>
      <c r="J26" s="2">
        <v>173.864</v>
      </c>
      <c r="K26" s="1">
        <v>-16.546099999999999</v>
      </c>
      <c r="L26" s="1">
        <v>171.47300000000001</v>
      </c>
      <c r="M26" s="1">
        <v>-15.3375</v>
      </c>
      <c r="N26">
        <v>169.17699999999999</v>
      </c>
      <c r="O26">
        <v>-13.9916</v>
      </c>
      <c r="P26">
        <v>166.98</v>
      </c>
      <c r="Q26" s="6">
        <v>-12.516400000000001</v>
      </c>
    </row>
    <row r="27" spans="1:17" x14ac:dyDescent="0.35">
      <c r="A27" s="153" t="s">
        <v>480</v>
      </c>
      <c r="B27" s="4">
        <v>169.46253999999999</v>
      </c>
      <c r="C27">
        <v>-63.46696</v>
      </c>
      <c r="D27" s="1">
        <v>164.48488</v>
      </c>
      <c r="E27" s="1">
        <v>-57.33428</v>
      </c>
      <c r="F27" s="1">
        <v>163.39926</v>
      </c>
      <c r="G27" s="1">
        <v>-51.363199999999999</v>
      </c>
      <c r="H27" s="1">
        <v>164.82712000000001</v>
      </c>
      <c r="I27" s="25">
        <v>-45.920270000000002</v>
      </c>
      <c r="J27" s="2">
        <v>-168.203</v>
      </c>
      <c r="K27" s="1">
        <v>-61.045999999999999</v>
      </c>
      <c r="L27" s="1">
        <v>-176.06444999999999</v>
      </c>
      <c r="M27" s="1">
        <v>-60.765509999999999</v>
      </c>
      <c r="N27">
        <v>176.33330000000001</v>
      </c>
      <c r="O27">
        <v>-60.00535</v>
      </c>
      <c r="P27">
        <v>169.18476999999999</v>
      </c>
      <c r="Q27" s="6">
        <v>-58.800620000000002</v>
      </c>
    </row>
    <row r="28" spans="1:17" x14ac:dyDescent="0.35">
      <c r="A28" s="153" t="s">
        <v>481</v>
      </c>
      <c r="B28" s="4">
        <v>155.96799999999999</v>
      </c>
      <c r="C28">
        <v>-54.1235</v>
      </c>
      <c r="D28" s="1">
        <v>155.63193000000001</v>
      </c>
      <c r="E28" s="1">
        <v>-47.035220000000002</v>
      </c>
      <c r="F28" s="1">
        <v>157.47443000000001</v>
      </c>
      <c r="G28" s="1">
        <v>-40.488520000000001</v>
      </c>
      <c r="H28" s="1">
        <v>160.93299999999999</v>
      </c>
      <c r="I28" s="25">
        <v>-34.682200000000002</v>
      </c>
      <c r="J28" s="2">
        <v>-163.32599999999999</v>
      </c>
      <c r="K28" s="1">
        <v>-49.752800000000001</v>
      </c>
      <c r="L28" s="1">
        <v>-168.99937</v>
      </c>
      <c r="M28" s="1">
        <v>-49.84675</v>
      </c>
      <c r="N28">
        <v>-174.65074000000001</v>
      </c>
      <c r="O28">
        <v>-49.585819999999998</v>
      </c>
      <c r="P28">
        <v>179.81200000000001</v>
      </c>
      <c r="Q28" s="6">
        <v>-48.976799999999997</v>
      </c>
    </row>
    <row r="29" spans="1:17" x14ac:dyDescent="0.35">
      <c r="A29" s="153" t="s">
        <v>482</v>
      </c>
      <c r="B29" s="4">
        <v>-6.4836200000000002</v>
      </c>
      <c r="C29">
        <v>-60.390590000000003</v>
      </c>
      <c r="D29" s="1">
        <v>-3.4555400000000001</v>
      </c>
      <c r="E29" s="1">
        <v>-60.438330000000001</v>
      </c>
      <c r="F29" s="1">
        <v>1.3100099999999999</v>
      </c>
      <c r="G29" s="1">
        <v>-60.768369999999997</v>
      </c>
      <c r="H29" s="1">
        <v>5.7686400000000004</v>
      </c>
      <c r="I29" s="25">
        <v>-60.789749999999998</v>
      </c>
      <c r="J29" s="2">
        <v>106.33694</v>
      </c>
      <c r="K29" s="1">
        <v>-43.658239999999999</v>
      </c>
      <c r="L29" s="1">
        <v>104.73214</v>
      </c>
      <c r="M29" s="1">
        <v>-40.074550000000002</v>
      </c>
      <c r="N29">
        <v>103.22562000000001</v>
      </c>
      <c r="O29">
        <v>-36.486759999999997</v>
      </c>
      <c r="P29">
        <v>101.7928</v>
      </c>
      <c r="Q29" s="6">
        <v>-32.89752</v>
      </c>
    </row>
    <row r="30" spans="1:17" x14ac:dyDescent="0.35">
      <c r="A30" s="153" t="s">
        <v>483</v>
      </c>
      <c r="B30" s="4">
        <v>-40.713279999999997</v>
      </c>
      <c r="C30">
        <v>-61.075719999999997</v>
      </c>
      <c r="D30" s="1">
        <v>-38.240079999999999</v>
      </c>
      <c r="E30" s="1">
        <v>-62.35933</v>
      </c>
      <c r="F30" s="1">
        <v>-34.270919999999997</v>
      </c>
      <c r="G30" s="1">
        <v>-64.234489999999994</v>
      </c>
      <c r="H30" s="1">
        <v>-29.958659999999998</v>
      </c>
      <c r="I30" s="25">
        <v>-65.559950000000001</v>
      </c>
      <c r="J30" s="2">
        <v>82.5779</v>
      </c>
      <c r="K30" s="1">
        <v>-78.541899999999998</v>
      </c>
      <c r="L30" s="1">
        <v>85.989670000000004</v>
      </c>
      <c r="M30" s="1">
        <v>-75.16386</v>
      </c>
      <c r="N30">
        <v>87.844819999999999</v>
      </c>
      <c r="O30">
        <v>-71.738609999999994</v>
      </c>
      <c r="P30">
        <v>88.866569999999996</v>
      </c>
      <c r="Q30" s="6">
        <v>-68.290030000000002</v>
      </c>
    </row>
    <row r="31" spans="1:17" x14ac:dyDescent="0.35">
      <c r="A31" s="158" t="s">
        <v>484</v>
      </c>
      <c r="B31" s="4">
        <v>-93.923299999999998</v>
      </c>
      <c r="C31">
        <v>-67.314580000000007</v>
      </c>
      <c r="D31" s="1">
        <v>-94.825329999999994</v>
      </c>
      <c r="E31" s="1">
        <v>-69.50985</v>
      </c>
      <c r="F31" s="1">
        <v>-96.602829999999997</v>
      </c>
      <c r="G31" s="1">
        <v>-72.258650000000003</v>
      </c>
      <c r="H31" s="1">
        <v>-97.611559999999997</v>
      </c>
      <c r="I31" s="25">
        <v>-74.458950000000002</v>
      </c>
      <c r="J31" s="2">
        <v>105.88072</v>
      </c>
      <c r="K31" s="1">
        <v>-70.67313</v>
      </c>
      <c r="L31" s="1">
        <v>104.05278</v>
      </c>
      <c r="M31" s="1">
        <v>-67.107330000000005</v>
      </c>
      <c r="N31">
        <v>102.5187</v>
      </c>
      <c r="O31">
        <v>-63.5383</v>
      </c>
      <c r="P31">
        <v>101.16914</v>
      </c>
      <c r="Q31" s="6">
        <v>-59.968899999999998</v>
      </c>
    </row>
    <row r="32" spans="1:17" x14ac:dyDescent="0.35">
      <c r="A32" s="153" t="s">
        <v>485</v>
      </c>
      <c r="B32" s="4">
        <v>-77.839640000000003</v>
      </c>
      <c r="C32">
        <v>7.2379600000000002</v>
      </c>
      <c r="D32" s="1">
        <v>-81.464950000000002</v>
      </c>
      <c r="E32" s="1">
        <v>10.455780000000001</v>
      </c>
      <c r="F32" s="1">
        <v>-83.157070000000004</v>
      </c>
      <c r="G32" s="1">
        <v>12.13716</v>
      </c>
      <c r="H32" s="1">
        <v>-85.097489999999993</v>
      </c>
      <c r="I32" s="25">
        <v>13.551819999999999</v>
      </c>
      <c r="J32" s="2">
        <v>7.7318300000000004</v>
      </c>
      <c r="K32" s="1">
        <v>-9.4895800000000001</v>
      </c>
      <c r="L32" s="1">
        <v>8.1413499999999992</v>
      </c>
      <c r="M32" s="1">
        <v>-12.18256</v>
      </c>
      <c r="N32">
        <v>8.8125499999999999</v>
      </c>
      <c r="O32">
        <v>-14.82605</v>
      </c>
      <c r="P32">
        <v>9.7508499999999998</v>
      </c>
      <c r="Q32" s="6">
        <v>-17.395379999999999</v>
      </c>
    </row>
    <row r="33" spans="1:17" x14ac:dyDescent="0.35">
      <c r="A33" s="153" t="s">
        <v>486</v>
      </c>
      <c r="B33" s="4">
        <v>75.619320000000002</v>
      </c>
      <c r="C33">
        <v>-35.358550000000001</v>
      </c>
      <c r="D33" s="1">
        <v>73.050870000000003</v>
      </c>
      <c r="E33" s="1">
        <v>-29.346019999999999</v>
      </c>
      <c r="F33" s="1">
        <v>70.865629999999996</v>
      </c>
      <c r="G33" s="1">
        <v>-22.00413</v>
      </c>
      <c r="H33" s="1">
        <v>69.465400000000002</v>
      </c>
      <c r="I33" s="25">
        <v>-14.512919999999999</v>
      </c>
      <c r="J33" s="2">
        <v>154.24596</v>
      </c>
      <c r="K33" s="1">
        <v>-11.503909999999999</v>
      </c>
      <c r="L33" s="1">
        <v>152.31019000000001</v>
      </c>
      <c r="M33" s="1">
        <v>-9.2416499999999999</v>
      </c>
      <c r="N33">
        <v>150.50035</v>
      </c>
      <c r="O33">
        <v>-6.8895299999999997</v>
      </c>
      <c r="P33">
        <v>148.81271000000001</v>
      </c>
      <c r="Q33" s="6">
        <v>-4.4557799999999999</v>
      </c>
    </row>
    <row r="34" spans="1:17" x14ac:dyDescent="0.35">
      <c r="A34" s="153" t="s">
        <v>487</v>
      </c>
      <c r="B34" s="4">
        <v>-84.919030000000006</v>
      </c>
      <c r="C34">
        <v>-29.039190000000001</v>
      </c>
      <c r="D34" s="1">
        <v>-97.001000000000005</v>
      </c>
      <c r="E34" s="1">
        <v>-29.19069</v>
      </c>
      <c r="F34" s="1">
        <v>-103.42277</v>
      </c>
      <c r="G34" s="1">
        <v>-34.726770000000002</v>
      </c>
      <c r="H34" s="1">
        <v>-108.23582</v>
      </c>
      <c r="I34" s="25">
        <v>-42.529359999999997</v>
      </c>
      <c r="J34" s="2">
        <v>-3.7454900000000002</v>
      </c>
      <c r="K34" s="1">
        <v>-50.012729999999998</v>
      </c>
      <c r="L34" s="1">
        <v>-5.9369999999999999E-2</v>
      </c>
      <c r="M34" s="1">
        <v>-51.919240000000002</v>
      </c>
      <c r="N34">
        <v>4.1903800000000002</v>
      </c>
      <c r="O34">
        <v>-53.465159999999997</v>
      </c>
      <c r="P34">
        <v>8.9304400000000008</v>
      </c>
      <c r="Q34" s="6">
        <v>-54.593409999999999</v>
      </c>
    </row>
    <row r="35" spans="1:17" x14ac:dyDescent="0.35">
      <c r="D35" s="1"/>
      <c r="E35" s="1"/>
      <c r="F35" s="1"/>
      <c r="G35" s="1"/>
      <c r="H35" s="1"/>
      <c r="I35" s="25"/>
      <c r="J35" s="2"/>
      <c r="K35" s="1"/>
      <c r="L35" s="1"/>
      <c r="M35" s="1"/>
    </row>
  </sheetData>
  <mergeCells count="10">
    <mergeCell ref="B1:I1"/>
    <mergeCell ref="J1:Q1"/>
    <mergeCell ref="B2:C2"/>
    <mergeCell ref="D2:E2"/>
    <mergeCell ref="F2:G2"/>
    <mergeCell ref="H2:I2"/>
    <mergeCell ref="J2:K2"/>
    <mergeCell ref="L2:M2"/>
    <mergeCell ref="N2:O2"/>
    <mergeCell ref="P2:Q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8"/>
  <sheetViews>
    <sheetView zoomScale="70" zoomScaleNormal="70" workbookViewId="0"/>
  </sheetViews>
  <sheetFormatPr defaultRowHeight="14.5" x14ac:dyDescent="0.35"/>
  <cols>
    <col min="1" max="1" width="22" style="168" customWidth="1"/>
    <col min="2" max="2" width="2.81640625" style="4" customWidth="1"/>
    <col min="3" max="6" width="2.81640625" customWidth="1"/>
    <col min="7" max="7" width="2.81640625" style="4" customWidth="1"/>
    <col min="8" max="15" width="2.81640625" customWidth="1"/>
    <col min="16" max="16" width="2.81640625" style="4" customWidth="1"/>
    <col min="17" max="17" width="2.81640625" customWidth="1"/>
    <col min="18" max="18" width="2.81640625" style="4" customWidth="1"/>
    <col min="19" max="26" width="2.81640625" customWidth="1"/>
    <col min="27" max="27" width="2.81640625" style="4" customWidth="1"/>
    <col min="28" max="28" width="2.81640625" customWidth="1"/>
    <col min="29" max="29" width="2.81640625" style="4" customWidth="1"/>
    <col min="30" max="30" width="2.81640625" style="6" customWidth="1"/>
    <col min="31" max="31" width="2.81640625" customWidth="1"/>
    <col min="32" max="32" width="2.81640625" style="4" customWidth="1"/>
    <col min="33" max="33" width="2.81640625" style="20" customWidth="1"/>
    <col min="34" max="34" width="27" style="168" customWidth="1"/>
    <col min="35" max="35" width="25.81640625" style="154" customWidth="1"/>
    <col min="36" max="36" width="113.81640625" style="29" customWidth="1"/>
  </cols>
  <sheetData>
    <row r="1" spans="1:37" ht="14.5" customHeight="1" x14ac:dyDescent="0.35">
      <c r="A1" s="88" t="s">
        <v>171</v>
      </c>
      <c r="B1" s="189" t="s">
        <v>164</v>
      </c>
      <c r="C1" s="190"/>
      <c r="D1" s="190"/>
      <c r="E1" s="190"/>
      <c r="F1" s="191"/>
      <c r="G1" s="179" t="s">
        <v>423</v>
      </c>
      <c r="H1" s="179"/>
      <c r="I1" s="179"/>
      <c r="J1" s="179"/>
      <c r="K1" s="179"/>
      <c r="L1" s="179"/>
      <c r="M1" s="179"/>
      <c r="N1" s="179"/>
      <c r="O1" s="179"/>
      <c r="P1" s="179"/>
      <c r="Q1" s="179"/>
      <c r="R1" s="176" t="s">
        <v>411</v>
      </c>
      <c r="S1" s="176"/>
      <c r="T1" s="176"/>
      <c r="U1" s="176"/>
      <c r="V1" s="176"/>
      <c r="W1" s="176"/>
      <c r="X1" s="176"/>
      <c r="Y1" s="176"/>
      <c r="Z1" s="176"/>
      <c r="AA1" s="176"/>
      <c r="AB1" s="176"/>
      <c r="AC1" s="186" t="s">
        <v>276</v>
      </c>
      <c r="AD1" s="187"/>
      <c r="AE1" s="187"/>
      <c r="AF1" s="187"/>
      <c r="AG1" s="188"/>
    </row>
    <row r="2" spans="1:37" ht="60.65" customHeight="1" x14ac:dyDescent="0.35">
      <c r="A2" s="89"/>
      <c r="B2" s="68">
        <v>-581</v>
      </c>
      <c r="C2" s="69" t="s">
        <v>0</v>
      </c>
      <c r="D2" s="69" t="s">
        <v>1</v>
      </c>
      <c r="E2" s="69" t="s">
        <v>2</v>
      </c>
      <c r="F2" s="19" t="s">
        <v>331</v>
      </c>
      <c r="G2" s="90" t="s">
        <v>299</v>
      </c>
      <c r="H2" s="7" t="s">
        <v>298</v>
      </c>
      <c r="I2" s="7" t="s">
        <v>297</v>
      </c>
      <c r="J2" s="7" t="s">
        <v>296</v>
      </c>
      <c r="K2" s="7" t="s">
        <v>295</v>
      </c>
      <c r="L2" s="7" t="s">
        <v>294</v>
      </c>
      <c r="M2" s="7" t="s">
        <v>292</v>
      </c>
      <c r="N2" s="7" t="s">
        <v>293</v>
      </c>
      <c r="O2" s="7" t="s">
        <v>291</v>
      </c>
      <c r="P2" s="8" t="s">
        <v>215</v>
      </c>
      <c r="Q2" s="9" t="s">
        <v>216</v>
      </c>
      <c r="R2" s="35" t="s">
        <v>299</v>
      </c>
      <c r="S2" s="36" t="s">
        <v>298</v>
      </c>
      <c r="T2" s="36" t="s">
        <v>297</v>
      </c>
      <c r="U2" s="36" t="s">
        <v>296</v>
      </c>
      <c r="V2" s="36" t="s">
        <v>295</v>
      </c>
      <c r="W2" s="36" t="s">
        <v>294</v>
      </c>
      <c r="X2" s="36" t="s">
        <v>292</v>
      </c>
      <c r="Y2" s="36" t="s">
        <v>293</v>
      </c>
      <c r="Z2" s="36" t="s">
        <v>291</v>
      </c>
      <c r="AA2" s="33" t="s">
        <v>215</v>
      </c>
      <c r="AB2" s="34" t="s">
        <v>216</v>
      </c>
      <c r="AC2" s="24" t="s">
        <v>271</v>
      </c>
      <c r="AD2" s="23" t="s">
        <v>272</v>
      </c>
      <c r="AE2" s="23" t="s">
        <v>290</v>
      </c>
      <c r="AF2" s="21" t="s">
        <v>273</v>
      </c>
      <c r="AG2" s="22" t="s">
        <v>274</v>
      </c>
      <c r="AH2" s="5" t="s">
        <v>335</v>
      </c>
      <c r="AI2" s="5" t="s">
        <v>336</v>
      </c>
      <c r="AJ2" s="72" t="s">
        <v>278</v>
      </c>
      <c r="AK2" s="10"/>
    </row>
    <row r="3" spans="1:37" ht="58" x14ac:dyDescent="0.35">
      <c r="A3" s="162" t="s">
        <v>460</v>
      </c>
      <c r="B3" s="12"/>
      <c r="C3" s="13"/>
      <c r="D3" s="13"/>
      <c r="E3" s="13" t="s">
        <v>7</v>
      </c>
      <c r="F3" s="13"/>
      <c r="G3" s="12"/>
      <c r="H3" s="13"/>
      <c r="I3" s="13"/>
      <c r="J3" s="13"/>
      <c r="K3" s="13"/>
      <c r="L3" s="13"/>
      <c r="M3" s="13" t="s">
        <v>7</v>
      </c>
      <c r="N3" s="13"/>
      <c r="O3" s="13"/>
      <c r="P3" s="12"/>
      <c r="Q3" s="13" t="s">
        <v>7</v>
      </c>
      <c r="R3" s="12"/>
      <c r="S3" s="13"/>
      <c r="T3" s="13"/>
      <c r="U3" s="13" t="s">
        <v>7</v>
      </c>
      <c r="V3" s="13"/>
      <c r="W3" s="13"/>
      <c r="X3" s="13"/>
      <c r="Y3" s="13"/>
      <c r="Z3" s="13"/>
      <c r="AA3" s="12" t="s">
        <v>7</v>
      </c>
      <c r="AB3" s="13"/>
      <c r="AC3" s="12"/>
      <c r="AD3" s="13" t="s">
        <v>7</v>
      </c>
      <c r="AE3" s="13"/>
      <c r="AF3" s="12"/>
      <c r="AG3" s="63" t="s">
        <v>7</v>
      </c>
      <c r="AH3" s="11" t="s">
        <v>341</v>
      </c>
      <c r="AI3" s="3" t="s">
        <v>498</v>
      </c>
      <c r="AJ3" s="11" t="s">
        <v>499</v>
      </c>
      <c r="AK3" s="1"/>
    </row>
    <row r="4" spans="1:37" ht="114" customHeight="1" x14ac:dyDescent="0.35">
      <c r="A4" s="163" t="s">
        <v>461</v>
      </c>
      <c r="B4" s="12"/>
      <c r="C4" s="13"/>
      <c r="D4" s="13"/>
      <c r="E4" s="13" t="s">
        <v>7</v>
      </c>
      <c r="F4" s="13"/>
      <c r="G4" s="12"/>
      <c r="H4" s="13"/>
      <c r="I4" s="13"/>
      <c r="J4" s="13"/>
      <c r="K4" s="13"/>
      <c r="L4" s="13"/>
      <c r="M4" s="13"/>
      <c r="N4" s="13" t="s">
        <v>7</v>
      </c>
      <c r="O4" s="13"/>
      <c r="P4" s="12"/>
      <c r="Q4" s="13" t="s">
        <v>7</v>
      </c>
      <c r="R4" s="12"/>
      <c r="S4" s="13" t="s">
        <v>7</v>
      </c>
      <c r="T4" s="13"/>
      <c r="U4" s="13"/>
      <c r="V4" s="13"/>
      <c r="W4" s="13"/>
      <c r="X4" s="13"/>
      <c r="Y4" s="13"/>
      <c r="Z4" s="13"/>
      <c r="AA4" s="12" t="s">
        <v>7</v>
      </c>
      <c r="AB4" s="13"/>
      <c r="AC4" s="12"/>
      <c r="AD4" s="13" t="s">
        <v>7</v>
      </c>
      <c r="AE4" s="13"/>
      <c r="AF4" s="12"/>
      <c r="AG4" s="63" t="s">
        <v>7</v>
      </c>
      <c r="AH4" s="29" t="s">
        <v>459</v>
      </c>
      <c r="AI4" s="171" t="s">
        <v>447</v>
      </c>
      <c r="AJ4" s="11" t="s">
        <v>500</v>
      </c>
    </row>
    <row r="5" spans="1:37" ht="99.65" customHeight="1" x14ac:dyDescent="0.35">
      <c r="A5" s="164" t="s">
        <v>462</v>
      </c>
      <c r="B5" s="12"/>
      <c r="C5" s="13"/>
      <c r="D5" s="64"/>
      <c r="E5" s="13" t="s">
        <v>7</v>
      </c>
      <c r="F5" s="13"/>
      <c r="G5" s="12"/>
      <c r="H5" s="13"/>
      <c r="I5" s="13"/>
      <c r="J5" s="13"/>
      <c r="K5" s="13"/>
      <c r="L5" s="13"/>
      <c r="M5" s="13"/>
      <c r="N5" s="13" t="s">
        <v>7</v>
      </c>
      <c r="O5" s="13"/>
      <c r="P5" s="12"/>
      <c r="Q5" s="13" t="s">
        <v>7</v>
      </c>
      <c r="R5" s="12"/>
      <c r="S5" s="13"/>
      <c r="T5" s="13" t="s">
        <v>7</v>
      </c>
      <c r="U5" s="13"/>
      <c r="V5" s="13"/>
      <c r="W5" s="13"/>
      <c r="X5" s="13"/>
      <c r="Y5" s="13"/>
      <c r="Z5" s="13"/>
      <c r="AA5" s="12" t="s">
        <v>7</v>
      </c>
      <c r="AB5" s="13"/>
      <c r="AC5" s="12"/>
      <c r="AD5" s="13" t="s">
        <v>7</v>
      </c>
      <c r="AE5" s="13"/>
      <c r="AF5" s="12"/>
      <c r="AG5" s="63" t="s">
        <v>7</v>
      </c>
      <c r="AH5" s="11" t="s">
        <v>528</v>
      </c>
      <c r="AI5" s="171" t="s">
        <v>450</v>
      </c>
      <c r="AJ5" s="11" t="s">
        <v>504</v>
      </c>
      <c r="AK5" s="151"/>
    </row>
    <row r="6" spans="1:37" ht="75.650000000000006" customHeight="1" x14ac:dyDescent="0.35">
      <c r="A6" s="164" t="s">
        <v>463</v>
      </c>
      <c r="B6" s="12"/>
      <c r="C6" s="13"/>
      <c r="D6" s="13"/>
      <c r="E6" s="13"/>
      <c r="F6" s="13" t="s">
        <v>7</v>
      </c>
      <c r="G6" s="12"/>
      <c r="H6" s="13"/>
      <c r="I6" s="13"/>
      <c r="J6" s="13"/>
      <c r="K6" s="13"/>
      <c r="L6" s="13"/>
      <c r="M6" s="13"/>
      <c r="N6" s="13" t="s">
        <v>7</v>
      </c>
      <c r="O6" s="13"/>
      <c r="P6" s="12"/>
      <c r="Q6" s="13" t="s">
        <v>7</v>
      </c>
      <c r="R6" s="12"/>
      <c r="S6" s="13"/>
      <c r="T6" s="13"/>
      <c r="U6" s="13"/>
      <c r="V6" s="13"/>
      <c r="W6" s="13"/>
      <c r="X6" s="13" t="s">
        <v>7</v>
      </c>
      <c r="Y6" s="13"/>
      <c r="Z6" s="13"/>
      <c r="AA6" s="12"/>
      <c r="AB6" s="13" t="s">
        <v>7</v>
      </c>
      <c r="AC6" s="12"/>
      <c r="AD6" s="13" t="s">
        <v>7</v>
      </c>
      <c r="AE6" s="13"/>
      <c r="AF6" s="65" t="s">
        <v>7</v>
      </c>
      <c r="AG6" s="66" t="s">
        <v>7</v>
      </c>
      <c r="AH6" s="11" t="s">
        <v>351</v>
      </c>
      <c r="AI6" s="3" t="s">
        <v>350</v>
      </c>
      <c r="AJ6" s="11" t="s">
        <v>502</v>
      </c>
    </row>
    <row r="7" spans="1:37" ht="123.65" customHeight="1" x14ac:dyDescent="0.35">
      <c r="A7" s="164" t="s">
        <v>464</v>
      </c>
      <c r="B7" s="12"/>
      <c r="C7" s="13"/>
      <c r="D7" s="13"/>
      <c r="E7" s="13"/>
      <c r="F7" s="13" t="s">
        <v>7</v>
      </c>
      <c r="G7" s="12"/>
      <c r="H7" s="13"/>
      <c r="I7" s="13"/>
      <c r="J7" s="13"/>
      <c r="K7" s="13"/>
      <c r="L7" s="13"/>
      <c r="M7" s="13"/>
      <c r="N7" s="13"/>
      <c r="O7" s="13" t="s">
        <v>7</v>
      </c>
      <c r="P7" s="12"/>
      <c r="Q7" s="13" t="s">
        <v>7</v>
      </c>
      <c r="R7" s="12"/>
      <c r="S7" s="13"/>
      <c r="T7" s="13"/>
      <c r="U7" s="13"/>
      <c r="V7" s="13"/>
      <c r="W7" s="13" t="s">
        <v>7</v>
      </c>
      <c r="X7" s="13"/>
      <c r="Y7" s="13"/>
      <c r="Z7" s="13"/>
      <c r="AA7" s="12"/>
      <c r="AB7" s="13" t="s">
        <v>7</v>
      </c>
      <c r="AC7" s="12" t="s">
        <v>7</v>
      </c>
      <c r="AD7" s="13"/>
      <c r="AE7" s="13"/>
      <c r="AF7" s="12" t="s">
        <v>7</v>
      </c>
      <c r="AG7" s="63"/>
      <c r="AH7" s="11" t="s">
        <v>342</v>
      </c>
      <c r="AI7" s="3" t="s">
        <v>343</v>
      </c>
      <c r="AJ7" s="11" t="s">
        <v>503</v>
      </c>
    </row>
    <row r="8" spans="1:37" ht="48" customHeight="1" x14ac:dyDescent="0.35">
      <c r="A8" s="164" t="s">
        <v>465</v>
      </c>
      <c r="B8" s="12"/>
      <c r="C8" s="13"/>
      <c r="D8" s="13"/>
      <c r="E8" s="13" t="s">
        <v>7</v>
      </c>
      <c r="F8" s="13"/>
      <c r="G8" s="12"/>
      <c r="H8" s="13"/>
      <c r="I8" s="13"/>
      <c r="J8" s="13"/>
      <c r="K8" s="13"/>
      <c r="L8" s="13"/>
      <c r="M8" s="13"/>
      <c r="N8" s="13"/>
      <c r="O8" s="13" t="s">
        <v>7</v>
      </c>
      <c r="P8" s="12"/>
      <c r="Q8" s="13" t="s">
        <v>7</v>
      </c>
      <c r="R8" s="12"/>
      <c r="S8" s="13"/>
      <c r="T8" s="13"/>
      <c r="U8" s="13"/>
      <c r="V8" s="13"/>
      <c r="W8" s="13"/>
      <c r="X8" s="13"/>
      <c r="Y8" s="13" t="s">
        <v>7</v>
      </c>
      <c r="Z8" s="13"/>
      <c r="AA8" s="12"/>
      <c r="AB8" s="13" t="s">
        <v>7</v>
      </c>
      <c r="AC8" s="12"/>
      <c r="AD8" s="13" t="s">
        <v>7</v>
      </c>
      <c r="AE8" s="13"/>
      <c r="AF8" s="12"/>
      <c r="AG8" s="63" t="s">
        <v>7</v>
      </c>
      <c r="AH8" s="11" t="s">
        <v>344</v>
      </c>
      <c r="AI8" s="3" t="s">
        <v>432</v>
      </c>
      <c r="AJ8" s="11" t="s">
        <v>501</v>
      </c>
    </row>
    <row r="9" spans="1:37" ht="132.65" customHeight="1" x14ac:dyDescent="0.35">
      <c r="A9" s="164" t="s">
        <v>466</v>
      </c>
      <c r="B9" s="12"/>
      <c r="C9" s="13"/>
      <c r="D9" s="64" t="s">
        <v>7</v>
      </c>
      <c r="E9" s="13"/>
      <c r="F9" s="13"/>
      <c r="G9" s="12"/>
      <c r="H9" s="13"/>
      <c r="I9" s="13"/>
      <c r="J9" s="13"/>
      <c r="K9" s="13"/>
      <c r="L9" s="13"/>
      <c r="M9" s="13"/>
      <c r="N9" s="13"/>
      <c r="O9" s="13" t="s">
        <v>7</v>
      </c>
      <c r="P9" s="12"/>
      <c r="Q9" s="13" t="s">
        <v>7</v>
      </c>
      <c r="R9" s="12"/>
      <c r="S9" s="13"/>
      <c r="T9" s="13"/>
      <c r="U9" s="13"/>
      <c r="V9" s="13"/>
      <c r="W9" s="13"/>
      <c r="X9" s="13"/>
      <c r="Y9" s="13" t="s">
        <v>7</v>
      </c>
      <c r="Z9" s="13"/>
      <c r="AA9" s="12"/>
      <c r="AB9" s="13" t="s">
        <v>7</v>
      </c>
      <c r="AC9" s="12"/>
      <c r="AD9" s="13" t="s">
        <v>7</v>
      </c>
      <c r="AE9" s="13"/>
      <c r="AF9" s="12" t="s">
        <v>7</v>
      </c>
      <c r="AG9" s="66"/>
      <c r="AH9" s="169" t="s">
        <v>275</v>
      </c>
      <c r="AI9" s="171" t="s">
        <v>345</v>
      </c>
      <c r="AJ9" s="169" t="s">
        <v>505</v>
      </c>
    </row>
    <row r="10" spans="1:37" ht="91.5" customHeight="1" x14ac:dyDescent="0.35">
      <c r="A10" s="164" t="s">
        <v>467</v>
      </c>
      <c r="B10" s="12" t="s">
        <v>7</v>
      </c>
      <c r="C10" s="13"/>
      <c r="D10" s="13"/>
      <c r="E10" s="13"/>
      <c r="F10" s="13"/>
      <c r="G10" s="12"/>
      <c r="H10" s="13"/>
      <c r="I10" s="13"/>
      <c r="J10" s="13"/>
      <c r="K10" s="13"/>
      <c r="L10" s="13"/>
      <c r="M10" s="13"/>
      <c r="N10" s="13" t="s">
        <v>7</v>
      </c>
      <c r="O10" s="13"/>
      <c r="P10" s="12"/>
      <c r="Q10" s="13" t="s">
        <v>7</v>
      </c>
      <c r="R10" s="12"/>
      <c r="S10" s="13"/>
      <c r="T10" s="13"/>
      <c r="U10" s="13"/>
      <c r="V10" s="13"/>
      <c r="W10" s="13"/>
      <c r="X10" s="13" t="s">
        <v>7</v>
      </c>
      <c r="Y10" s="13"/>
      <c r="Z10" s="13"/>
      <c r="AA10" s="12"/>
      <c r="AB10" s="13" t="s">
        <v>7</v>
      </c>
      <c r="AC10" s="12"/>
      <c r="AD10" s="13"/>
      <c r="AE10" s="59" t="s">
        <v>7</v>
      </c>
      <c r="AF10" s="12"/>
      <c r="AG10" s="63" t="s">
        <v>7</v>
      </c>
      <c r="AH10" s="11" t="s">
        <v>277</v>
      </c>
      <c r="AI10" s="3" t="s">
        <v>277</v>
      </c>
      <c r="AJ10" s="11" t="s">
        <v>506</v>
      </c>
    </row>
    <row r="11" spans="1:37" ht="46.5" customHeight="1" x14ac:dyDescent="0.35">
      <c r="A11" s="164" t="s">
        <v>544</v>
      </c>
      <c r="B11" s="12"/>
      <c r="C11" s="13"/>
      <c r="D11" s="13"/>
      <c r="E11" s="13" t="s">
        <v>7</v>
      </c>
      <c r="F11" s="13"/>
      <c r="G11" s="12"/>
      <c r="H11" s="13"/>
      <c r="I11" s="13"/>
      <c r="J11" s="13"/>
      <c r="K11" s="13"/>
      <c r="L11" s="13"/>
      <c r="M11" s="13"/>
      <c r="N11" s="13" t="s">
        <v>7</v>
      </c>
      <c r="O11" s="13"/>
      <c r="P11" s="12"/>
      <c r="Q11" s="13" t="s">
        <v>7</v>
      </c>
      <c r="R11" s="12"/>
      <c r="S11" s="13"/>
      <c r="T11" s="13"/>
      <c r="U11" s="13"/>
      <c r="V11" s="13"/>
      <c r="W11" s="13"/>
      <c r="X11" s="13" t="s">
        <v>7</v>
      </c>
      <c r="Y11" s="13"/>
      <c r="Z11" s="13"/>
      <c r="AA11" s="12"/>
      <c r="AB11" s="13" t="s">
        <v>7</v>
      </c>
      <c r="AC11" s="12"/>
      <c r="AD11" s="13" t="s">
        <v>7</v>
      </c>
      <c r="AE11" s="13"/>
      <c r="AF11" s="12"/>
      <c r="AG11" s="63" t="s">
        <v>7</v>
      </c>
      <c r="AH11" s="11" t="s">
        <v>393</v>
      </c>
      <c r="AI11" s="3" t="s">
        <v>394</v>
      </c>
      <c r="AJ11" s="11" t="s">
        <v>507</v>
      </c>
    </row>
    <row r="12" spans="1:37" ht="132.65" customHeight="1" x14ac:dyDescent="0.35">
      <c r="A12" s="164" t="s">
        <v>468</v>
      </c>
      <c r="B12" s="12"/>
      <c r="C12" s="13"/>
      <c r="D12" s="13"/>
      <c r="E12" s="13" t="s">
        <v>7</v>
      </c>
      <c r="F12" s="13"/>
      <c r="G12" s="12"/>
      <c r="H12" s="13"/>
      <c r="I12" s="13"/>
      <c r="J12" s="13"/>
      <c r="K12" s="13"/>
      <c r="L12" s="13"/>
      <c r="M12" s="13" t="s">
        <v>7</v>
      </c>
      <c r="N12" s="13"/>
      <c r="O12" s="13"/>
      <c r="P12" s="12"/>
      <c r="Q12" s="13" t="s">
        <v>7</v>
      </c>
      <c r="R12" s="12"/>
      <c r="S12" s="13"/>
      <c r="T12" s="13" t="s">
        <v>7</v>
      </c>
      <c r="U12" s="13"/>
      <c r="V12" s="13"/>
      <c r="W12" s="13"/>
      <c r="X12" s="13"/>
      <c r="Y12" s="13"/>
      <c r="Z12" s="13"/>
      <c r="AA12" s="12" t="s">
        <v>7</v>
      </c>
      <c r="AB12" s="13"/>
      <c r="AC12" s="12"/>
      <c r="AD12" s="13" t="s">
        <v>7</v>
      </c>
      <c r="AE12" s="13"/>
      <c r="AF12" s="12"/>
      <c r="AG12" s="63" t="s">
        <v>7</v>
      </c>
      <c r="AH12" s="11" t="s">
        <v>529</v>
      </c>
      <c r="AI12" s="3" t="s">
        <v>349</v>
      </c>
      <c r="AJ12" s="11" t="s">
        <v>508</v>
      </c>
    </row>
    <row r="13" spans="1:37" ht="78.650000000000006" customHeight="1" x14ac:dyDescent="0.35">
      <c r="A13" s="164" t="s">
        <v>469</v>
      </c>
      <c r="B13" s="12"/>
      <c r="C13" s="13"/>
      <c r="D13" s="13"/>
      <c r="E13" s="59" t="s">
        <v>176</v>
      </c>
      <c r="F13" s="13" t="s">
        <v>176</v>
      </c>
      <c r="G13" s="12"/>
      <c r="H13" s="13"/>
      <c r="I13" s="13"/>
      <c r="J13" s="13"/>
      <c r="K13" s="13"/>
      <c r="L13" s="13"/>
      <c r="M13" s="13"/>
      <c r="N13" s="13" t="s">
        <v>7</v>
      </c>
      <c r="O13" s="13"/>
      <c r="P13" s="12"/>
      <c r="Q13" s="13" t="s">
        <v>7</v>
      </c>
      <c r="R13" s="12"/>
      <c r="S13" s="13"/>
      <c r="T13" s="13"/>
      <c r="U13" s="13"/>
      <c r="V13" s="13"/>
      <c r="W13" s="13"/>
      <c r="X13" s="13" t="s">
        <v>7</v>
      </c>
      <c r="Y13" s="13"/>
      <c r="Z13" s="13"/>
      <c r="AA13" s="12"/>
      <c r="AB13" s="13" t="s">
        <v>7</v>
      </c>
      <c r="AC13" s="12" t="s">
        <v>7</v>
      </c>
      <c r="AD13" s="59" t="s">
        <v>7</v>
      </c>
      <c r="AE13" s="13"/>
      <c r="AF13" s="12" t="s">
        <v>7</v>
      </c>
      <c r="AG13" s="63" t="s">
        <v>7</v>
      </c>
      <c r="AH13" s="11" t="s">
        <v>355</v>
      </c>
      <c r="AI13" s="3" t="s">
        <v>352</v>
      </c>
      <c r="AJ13" s="11" t="s">
        <v>509</v>
      </c>
    </row>
    <row r="14" spans="1:37" ht="51.75" customHeight="1" x14ac:dyDescent="0.35">
      <c r="A14" s="164" t="s">
        <v>470</v>
      </c>
      <c r="B14" s="12"/>
      <c r="C14" s="13" t="s">
        <v>7</v>
      </c>
      <c r="D14" s="13"/>
      <c r="E14" s="59"/>
      <c r="F14" s="13"/>
      <c r="G14" s="12"/>
      <c r="H14" s="13"/>
      <c r="I14" s="13"/>
      <c r="J14" s="13"/>
      <c r="K14" s="13"/>
      <c r="L14" s="13"/>
      <c r="M14" s="13"/>
      <c r="N14" s="13"/>
      <c r="O14" s="13" t="s">
        <v>7</v>
      </c>
      <c r="P14" s="12"/>
      <c r="Q14" s="13" t="s">
        <v>7</v>
      </c>
      <c r="R14" s="12"/>
      <c r="S14" s="13"/>
      <c r="T14" s="13"/>
      <c r="U14" s="13"/>
      <c r="V14" s="13"/>
      <c r="W14" s="13" t="s">
        <v>7</v>
      </c>
      <c r="X14" s="13"/>
      <c r="Y14" s="13"/>
      <c r="Z14" s="13"/>
      <c r="AA14" s="12"/>
      <c r="AB14" s="13" t="s">
        <v>7</v>
      </c>
      <c r="AC14" s="12" t="s">
        <v>7</v>
      </c>
      <c r="AD14" s="13"/>
      <c r="AE14" s="13"/>
      <c r="AF14" s="12" t="s">
        <v>7</v>
      </c>
      <c r="AG14" s="63" t="s">
        <v>7</v>
      </c>
      <c r="AH14" s="11" t="s">
        <v>354</v>
      </c>
      <c r="AI14" s="3" t="s">
        <v>353</v>
      </c>
      <c r="AJ14" s="11" t="s">
        <v>510</v>
      </c>
    </row>
    <row r="15" spans="1:37" ht="85.75" customHeight="1" x14ac:dyDescent="0.35">
      <c r="A15" s="164" t="s">
        <v>471</v>
      </c>
      <c r="B15" s="12"/>
      <c r="C15" s="13"/>
      <c r="D15" s="13"/>
      <c r="E15" s="59" t="s">
        <v>176</v>
      </c>
      <c r="F15" s="13" t="s">
        <v>176</v>
      </c>
      <c r="G15" s="12"/>
      <c r="H15" s="13"/>
      <c r="I15" s="13"/>
      <c r="J15" s="13"/>
      <c r="K15" s="13"/>
      <c r="L15" s="13"/>
      <c r="M15" s="13"/>
      <c r="N15" s="13"/>
      <c r="O15" s="13" t="s">
        <v>7</v>
      </c>
      <c r="P15" s="12"/>
      <c r="Q15" s="13" t="s">
        <v>7</v>
      </c>
      <c r="R15" s="12"/>
      <c r="S15" s="13"/>
      <c r="T15" s="13"/>
      <c r="U15" s="13"/>
      <c r="V15" s="13"/>
      <c r="W15" s="13"/>
      <c r="X15" s="13" t="s">
        <v>7</v>
      </c>
      <c r="Y15" s="13"/>
      <c r="Z15" s="13"/>
      <c r="AA15" s="12"/>
      <c r="AB15" s="13" t="s">
        <v>7</v>
      </c>
      <c r="AC15" s="12" t="s">
        <v>7</v>
      </c>
      <c r="AD15" s="13" t="s">
        <v>7</v>
      </c>
      <c r="AE15" s="13"/>
      <c r="AF15" s="12" t="s">
        <v>7</v>
      </c>
      <c r="AG15" s="63" t="s">
        <v>7</v>
      </c>
      <c r="AH15" s="151" t="s">
        <v>344</v>
      </c>
      <c r="AI15" s="3" t="s">
        <v>395</v>
      </c>
      <c r="AJ15" s="11" t="s">
        <v>511</v>
      </c>
    </row>
    <row r="16" spans="1:37" ht="121.75" customHeight="1" x14ac:dyDescent="0.35">
      <c r="A16" s="164" t="s">
        <v>472</v>
      </c>
      <c r="B16" s="12"/>
      <c r="C16" s="13" t="s">
        <v>176</v>
      </c>
      <c r="D16" s="13" t="s">
        <v>7</v>
      </c>
      <c r="E16" s="59" t="s">
        <v>176</v>
      </c>
      <c r="F16" s="59" t="s">
        <v>176</v>
      </c>
      <c r="G16" s="12"/>
      <c r="H16" s="13"/>
      <c r="I16" s="13" t="s">
        <v>7</v>
      </c>
      <c r="J16" s="13"/>
      <c r="K16" s="13"/>
      <c r="L16" s="13"/>
      <c r="M16" s="13"/>
      <c r="N16" s="13"/>
      <c r="O16" s="13"/>
      <c r="P16" s="12" t="s">
        <v>7</v>
      </c>
      <c r="Q16" s="13"/>
      <c r="R16" s="12" t="s">
        <v>7</v>
      </c>
      <c r="S16" s="13"/>
      <c r="T16" s="13"/>
      <c r="U16" s="13"/>
      <c r="V16" s="13"/>
      <c r="W16" s="13"/>
      <c r="X16" s="13"/>
      <c r="Y16" s="13"/>
      <c r="Z16" s="13"/>
      <c r="AA16" s="12" t="s">
        <v>7</v>
      </c>
      <c r="AB16" s="13"/>
      <c r="AC16" s="12" t="s">
        <v>7</v>
      </c>
      <c r="AD16" s="13"/>
      <c r="AE16" s="13"/>
      <c r="AF16" s="12"/>
      <c r="AG16" s="63" t="s">
        <v>7</v>
      </c>
      <c r="AH16" s="11" t="s">
        <v>346</v>
      </c>
      <c r="AI16" s="3" t="s">
        <v>347</v>
      </c>
      <c r="AJ16" s="11" t="s">
        <v>541</v>
      </c>
    </row>
    <row r="17" spans="1:36" ht="115.75" customHeight="1" x14ac:dyDescent="0.35">
      <c r="A17" s="164" t="s">
        <v>489</v>
      </c>
      <c r="B17" s="12"/>
      <c r="C17" s="13"/>
      <c r="D17" s="13"/>
      <c r="E17" s="13"/>
      <c r="F17" s="13" t="s">
        <v>7</v>
      </c>
      <c r="G17" s="12"/>
      <c r="H17" s="13"/>
      <c r="I17" s="13"/>
      <c r="J17" s="13"/>
      <c r="K17" s="13"/>
      <c r="L17" s="13"/>
      <c r="M17" s="13"/>
      <c r="N17" s="13" t="s">
        <v>7</v>
      </c>
      <c r="O17" s="13"/>
      <c r="P17" s="3"/>
      <c r="Q17" s="13" t="s">
        <v>7</v>
      </c>
      <c r="R17" s="12"/>
      <c r="S17" s="13"/>
      <c r="T17" s="13"/>
      <c r="U17" s="13"/>
      <c r="V17" s="13"/>
      <c r="W17" s="13"/>
      <c r="X17" s="13"/>
      <c r="Y17" s="13" t="s">
        <v>7</v>
      </c>
      <c r="Z17" s="13"/>
      <c r="AA17" s="12"/>
      <c r="AB17" s="13" t="s">
        <v>7</v>
      </c>
      <c r="AC17" s="12"/>
      <c r="AD17" s="13" t="s">
        <v>7</v>
      </c>
      <c r="AE17" s="13"/>
      <c r="AF17" s="65" t="s">
        <v>7</v>
      </c>
      <c r="AG17" s="63" t="s">
        <v>7</v>
      </c>
      <c r="AH17" s="11" t="s">
        <v>344</v>
      </c>
      <c r="AI17" s="3" t="s">
        <v>267</v>
      </c>
      <c r="AJ17" s="11" t="s">
        <v>363</v>
      </c>
    </row>
    <row r="18" spans="1:36" ht="137.4" customHeight="1" x14ac:dyDescent="0.35">
      <c r="A18" s="164" t="s">
        <v>473</v>
      </c>
      <c r="B18" s="12"/>
      <c r="C18" s="13"/>
      <c r="D18" s="13"/>
      <c r="E18" s="13"/>
      <c r="F18" s="13" t="s">
        <v>7</v>
      </c>
      <c r="G18" s="12"/>
      <c r="H18" s="13"/>
      <c r="I18" s="13"/>
      <c r="J18" s="13"/>
      <c r="K18" s="13"/>
      <c r="L18" s="13" t="s">
        <v>7</v>
      </c>
      <c r="M18" s="13"/>
      <c r="N18" s="13"/>
      <c r="O18" s="13"/>
      <c r="P18" s="12"/>
      <c r="Q18" s="13" t="s">
        <v>7</v>
      </c>
      <c r="R18" s="12"/>
      <c r="S18" s="13"/>
      <c r="T18" s="13"/>
      <c r="U18" s="13"/>
      <c r="V18" s="13"/>
      <c r="W18" s="13"/>
      <c r="X18" s="13"/>
      <c r="Y18" s="13"/>
      <c r="Z18" s="13" t="s">
        <v>7</v>
      </c>
      <c r="AA18" s="12"/>
      <c r="AB18" s="13" t="s">
        <v>7</v>
      </c>
      <c r="AC18" s="12"/>
      <c r="AD18" s="59" t="s">
        <v>7</v>
      </c>
      <c r="AE18" s="13"/>
      <c r="AF18" s="12"/>
      <c r="AG18" s="63" t="s">
        <v>7</v>
      </c>
      <c r="AH18" s="11" t="s">
        <v>457</v>
      </c>
      <c r="AI18" s="3" t="s">
        <v>456</v>
      </c>
      <c r="AJ18" s="11" t="s">
        <v>512</v>
      </c>
    </row>
    <row r="19" spans="1:36" ht="54" customHeight="1" x14ac:dyDescent="0.35">
      <c r="A19" s="164" t="s">
        <v>474</v>
      </c>
      <c r="B19" s="12" t="s">
        <v>7</v>
      </c>
      <c r="C19" s="13"/>
      <c r="D19" s="13"/>
      <c r="E19" s="13"/>
      <c r="F19" s="13"/>
      <c r="G19" s="12"/>
      <c r="H19" s="13"/>
      <c r="I19" s="13"/>
      <c r="J19" s="13"/>
      <c r="K19" s="13"/>
      <c r="L19" s="13"/>
      <c r="M19" s="13"/>
      <c r="N19" s="13"/>
      <c r="O19" s="13" t="s">
        <v>7</v>
      </c>
      <c r="P19" s="12"/>
      <c r="Q19" s="13" t="s">
        <v>7</v>
      </c>
      <c r="R19" s="12"/>
      <c r="S19" s="13"/>
      <c r="T19" s="13"/>
      <c r="U19" s="13"/>
      <c r="V19" s="13"/>
      <c r="W19" s="13" t="s">
        <v>7</v>
      </c>
      <c r="X19" s="13"/>
      <c r="Y19" s="13"/>
      <c r="Z19" s="13"/>
      <c r="AA19" s="12"/>
      <c r="AB19" s="13" t="s">
        <v>7</v>
      </c>
      <c r="AC19" s="12"/>
      <c r="AD19" s="13" t="s">
        <v>7</v>
      </c>
      <c r="AE19" s="13"/>
      <c r="AF19" s="12"/>
      <c r="AG19" s="63" t="s">
        <v>7</v>
      </c>
      <c r="AH19" s="11" t="s">
        <v>177</v>
      </c>
      <c r="AI19" s="3" t="s">
        <v>177</v>
      </c>
      <c r="AJ19" s="11" t="s">
        <v>513</v>
      </c>
    </row>
    <row r="20" spans="1:36" ht="43.5" x14ac:dyDescent="0.35">
      <c r="A20" s="87" t="s">
        <v>475</v>
      </c>
      <c r="B20" s="57"/>
      <c r="C20" s="28"/>
      <c r="D20" s="28"/>
      <c r="E20" s="28" t="s">
        <v>7</v>
      </c>
      <c r="F20" s="28"/>
      <c r="G20" s="12"/>
      <c r="H20" s="13"/>
      <c r="I20" s="13"/>
      <c r="J20" s="13"/>
      <c r="K20" s="13"/>
      <c r="L20" s="13"/>
      <c r="M20" s="13"/>
      <c r="N20" s="13"/>
      <c r="O20" s="13" t="s">
        <v>7</v>
      </c>
      <c r="P20" s="12"/>
      <c r="Q20" s="13" t="s">
        <v>7</v>
      </c>
      <c r="R20" s="12"/>
      <c r="S20" s="13"/>
      <c r="T20" s="13"/>
      <c r="U20" s="13"/>
      <c r="V20" s="13"/>
      <c r="W20" s="13" t="s">
        <v>7</v>
      </c>
      <c r="X20" s="13"/>
      <c r="Y20" s="13"/>
      <c r="Z20" s="13"/>
      <c r="AA20" s="12"/>
      <c r="AB20" s="13" t="s">
        <v>7</v>
      </c>
      <c r="AC20" s="12"/>
      <c r="AD20" s="13" t="s">
        <v>7</v>
      </c>
      <c r="AE20" s="13"/>
      <c r="AF20" s="12"/>
      <c r="AG20" s="63" t="s">
        <v>7</v>
      </c>
      <c r="AH20" s="11" t="s">
        <v>530</v>
      </c>
      <c r="AI20" s="3" t="s">
        <v>189</v>
      </c>
      <c r="AJ20" s="11" t="s">
        <v>514</v>
      </c>
    </row>
    <row r="21" spans="1:36" ht="94.25" customHeight="1" x14ac:dyDescent="0.35">
      <c r="A21" s="87" t="s">
        <v>476</v>
      </c>
      <c r="B21" s="57"/>
      <c r="C21" s="28"/>
      <c r="D21" s="28"/>
      <c r="E21" s="28"/>
      <c r="F21" s="28" t="s">
        <v>7</v>
      </c>
      <c r="G21" s="12"/>
      <c r="H21" s="13"/>
      <c r="I21" s="13"/>
      <c r="J21" s="13"/>
      <c r="K21" s="13"/>
      <c r="L21" s="13"/>
      <c r="M21" s="13"/>
      <c r="N21" s="13" t="s">
        <v>7</v>
      </c>
      <c r="O21" s="13"/>
      <c r="P21" s="12"/>
      <c r="Q21" s="13" t="s">
        <v>7</v>
      </c>
      <c r="R21" s="12"/>
      <c r="S21" s="13"/>
      <c r="T21" s="13"/>
      <c r="U21" s="13"/>
      <c r="V21" s="13"/>
      <c r="W21" s="13" t="s">
        <v>7</v>
      </c>
      <c r="X21" s="13"/>
      <c r="Y21" s="13"/>
      <c r="Z21" s="13"/>
      <c r="AA21" s="12"/>
      <c r="AB21" s="13" t="s">
        <v>7</v>
      </c>
      <c r="AC21" s="12"/>
      <c r="AD21" s="13" t="s">
        <v>7</v>
      </c>
      <c r="AE21" s="13"/>
      <c r="AF21" s="12" t="s">
        <v>7</v>
      </c>
      <c r="AG21" s="63" t="s">
        <v>7</v>
      </c>
      <c r="AH21" s="151" t="s">
        <v>532</v>
      </c>
      <c r="AI21" s="3" t="s">
        <v>516</v>
      </c>
      <c r="AJ21" s="11" t="s">
        <v>515</v>
      </c>
    </row>
    <row r="22" spans="1:36" ht="39.75" customHeight="1" x14ac:dyDescent="0.35">
      <c r="A22" s="164" t="s">
        <v>477</v>
      </c>
      <c r="B22" s="12"/>
      <c r="C22" s="13"/>
      <c r="D22" s="13"/>
      <c r="E22" s="13"/>
      <c r="F22" s="13" t="s">
        <v>7</v>
      </c>
      <c r="G22" s="12"/>
      <c r="H22" s="13"/>
      <c r="I22" s="13"/>
      <c r="J22" s="13"/>
      <c r="K22" s="13"/>
      <c r="L22" s="13"/>
      <c r="M22" s="13"/>
      <c r="N22" s="13" t="s">
        <v>7</v>
      </c>
      <c r="O22" s="13"/>
      <c r="P22" s="12"/>
      <c r="Q22" s="13" t="s">
        <v>7</v>
      </c>
      <c r="R22" s="12"/>
      <c r="S22" s="13"/>
      <c r="T22" s="13"/>
      <c r="U22" s="13"/>
      <c r="V22" s="13"/>
      <c r="W22" s="13" t="s">
        <v>7</v>
      </c>
      <c r="X22" s="13"/>
      <c r="Y22" s="13"/>
      <c r="Z22" s="13"/>
      <c r="AA22" s="12"/>
      <c r="AB22" s="13" t="s">
        <v>7</v>
      </c>
      <c r="AC22" s="67"/>
      <c r="AD22" s="13" t="s">
        <v>7</v>
      </c>
      <c r="AE22" s="13"/>
      <c r="AF22" s="12" t="s">
        <v>7</v>
      </c>
      <c r="AG22" s="63" t="s">
        <v>7</v>
      </c>
      <c r="AH22" s="11" t="s">
        <v>362</v>
      </c>
      <c r="AI22" s="3" t="s">
        <v>220</v>
      </c>
      <c r="AJ22" s="11" t="s">
        <v>517</v>
      </c>
    </row>
    <row r="23" spans="1:36" ht="52.75" customHeight="1" x14ac:dyDescent="0.35">
      <c r="A23" s="164" t="s">
        <v>478</v>
      </c>
      <c r="B23" s="12"/>
      <c r="C23" s="13"/>
      <c r="D23" s="13"/>
      <c r="E23" s="13"/>
      <c r="F23" s="13" t="s">
        <v>7</v>
      </c>
      <c r="G23" s="12"/>
      <c r="H23" s="13"/>
      <c r="I23" s="13"/>
      <c r="J23" s="13" t="s">
        <v>7</v>
      </c>
      <c r="K23" s="13"/>
      <c r="L23" s="13"/>
      <c r="M23" s="13"/>
      <c r="N23" s="13"/>
      <c r="O23" s="13"/>
      <c r="P23" s="12" t="s">
        <v>7</v>
      </c>
      <c r="Q23" s="13"/>
      <c r="R23" s="12"/>
      <c r="S23" s="13"/>
      <c r="T23" s="13"/>
      <c r="U23" s="13"/>
      <c r="V23" s="13" t="s">
        <v>7</v>
      </c>
      <c r="W23" s="13"/>
      <c r="X23" s="13"/>
      <c r="Y23" s="13"/>
      <c r="Z23" s="13"/>
      <c r="AA23" s="12"/>
      <c r="AB23" s="13" t="s">
        <v>7</v>
      </c>
      <c r="AC23" s="12"/>
      <c r="AD23" s="13" t="s">
        <v>7</v>
      </c>
      <c r="AE23" s="13"/>
      <c r="AF23" s="12" t="s">
        <v>7</v>
      </c>
      <c r="AG23" s="63" t="s">
        <v>7</v>
      </c>
      <c r="AH23" s="151" t="s">
        <v>533</v>
      </c>
      <c r="AI23" s="3" t="s">
        <v>361</v>
      </c>
      <c r="AJ23" s="11" t="s">
        <v>518</v>
      </c>
    </row>
    <row r="24" spans="1:36" ht="55.5" customHeight="1" x14ac:dyDescent="0.35">
      <c r="A24" s="164" t="s">
        <v>488</v>
      </c>
      <c r="B24" s="12"/>
      <c r="C24" s="13"/>
      <c r="D24" s="13"/>
      <c r="E24" s="13"/>
      <c r="F24" s="13" t="s">
        <v>7</v>
      </c>
      <c r="G24" s="12"/>
      <c r="H24" s="13"/>
      <c r="I24" s="13"/>
      <c r="J24" s="13"/>
      <c r="K24" s="13"/>
      <c r="L24" s="13"/>
      <c r="M24" s="13" t="s">
        <v>7</v>
      </c>
      <c r="N24" s="13"/>
      <c r="O24" s="13"/>
      <c r="P24" s="12"/>
      <c r="Q24" s="13" t="s">
        <v>7</v>
      </c>
      <c r="R24" s="12"/>
      <c r="S24" s="13"/>
      <c r="T24" s="13"/>
      <c r="U24" s="13"/>
      <c r="V24" s="13"/>
      <c r="W24" s="13"/>
      <c r="X24" s="13"/>
      <c r="Y24" s="13"/>
      <c r="Z24" s="13" t="s">
        <v>7</v>
      </c>
      <c r="AA24" s="12"/>
      <c r="AB24" s="13" t="s">
        <v>7</v>
      </c>
      <c r="AC24" s="12"/>
      <c r="AD24" s="13" t="s">
        <v>7</v>
      </c>
      <c r="AE24" s="13"/>
      <c r="AF24" s="12" t="s">
        <v>7</v>
      </c>
      <c r="AG24" s="66" t="s">
        <v>7</v>
      </c>
      <c r="AH24" s="151" t="s">
        <v>366</v>
      </c>
      <c r="AI24" s="3" t="s">
        <v>366</v>
      </c>
      <c r="AJ24" s="11" t="s">
        <v>519</v>
      </c>
    </row>
    <row r="25" spans="1:36" ht="53.25" customHeight="1" x14ac:dyDescent="0.35">
      <c r="A25" s="164" t="s">
        <v>479</v>
      </c>
      <c r="B25" s="12"/>
      <c r="C25" s="13"/>
      <c r="D25" s="13"/>
      <c r="E25" s="13" t="s">
        <v>7</v>
      </c>
      <c r="F25" s="64"/>
      <c r="G25" s="12"/>
      <c r="H25" s="13"/>
      <c r="I25" s="13"/>
      <c r="J25" s="13"/>
      <c r="K25" s="13"/>
      <c r="L25" s="13" t="s">
        <v>7</v>
      </c>
      <c r="M25" s="13"/>
      <c r="N25" s="13"/>
      <c r="O25" s="13"/>
      <c r="P25" s="12"/>
      <c r="Q25" s="13" t="s">
        <v>7</v>
      </c>
      <c r="R25" s="12"/>
      <c r="S25" s="13"/>
      <c r="T25" s="13"/>
      <c r="U25" s="13"/>
      <c r="V25" s="13"/>
      <c r="W25" s="13"/>
      <c r="X25" s="13"/>
      <c r="Y25" s="13" t="s">
        <v>7</v>
      </c>
      <c r="Z25" s="13"/>
      <c r="AA25" s="12"/>
      <c r="AB25" s="13" t="s">
        <v>7</v>
      </c>
      <c r="AC25" s="12"/>
      <c r="AD25" s="13" t="s">
        <v>7</v>
      </c>
      <c r="AE25" s="13"/>
      <c r="AF25" s="12"/>
      <c r="AG25" s="63" t="s">
        <v>7</v>
      </c>
      <c r="AH25" s="11" t="s">
        <v>344</v>
      </c>
      <c r="AI25" s="3" t="s">
        <v>396</v>
      </c>
      <c r="AJ25" s="11" t="s">
        <v>520</v>
      </c>
    </row>
    <row r="26" spans="1:36" ht="69" customHeight="1" x14ac:dyDescent="0.35">
      <c r="A26" s="164" t="s">
        <v>480</v>
      </c>
      <c r="B26" s="12"/>
      <c r="C26" s="13"/>
      <c r="D26" s="13"/>
      <c r="E26" s="13"/>
      <c r="F26" s="13" t="s">
        <v>7</v>
      </c>
      <c r="G26" s="12"/>
      <c r="H26" s="13"/>
      <c r="I26" s="13" t="s">
        <v>7</v>
      </c>
      <c r="J26" s="13"/>
      <c r="K26" s="13"/>
      <c r="L26" s="13"/>
      <c r="M26" s="13"/>
      <c r="N26" s="13"/>
      <c r="O26" s="13"/>
      <c r="P26" s="12" t="s">
        <v>7</v>
      </c>
      <c r="Q26" s="13"/>
      <c r="R26" s="12"/>
      <c r="S26" s="13"/>
      <c r="T26" s="13" t="s">
        <v>7</v>
      </c>
      <c r="U26" s="13"/>
      <c r="V26" s="13"/>
      <c r="W26" s="13"/>
      <c r="X26" s="13"/>
      <c r="Y26" s="13"/>
      <c r="Z26" s="13"/>
      <c r="AA26" s="12" t="s">
        <v>7</v>
      </c>
      <c r="AB26" s="13"/>
      <c r="AC26" s="12"/>
      <c r="AD26" s="13" t="s">
        <v>7</v>
      </c>
      <c r="AE26" s="13"/>
      <c r="AF26" s="12" t="s">
        <v>7</v>
      </c>
      <c r="AG26" s="66" t="s">
        <v>7</v>
      </c>
      <c r="AH26" s="11" t="s">
        <v>364</v>
      </c>
      <c r="AI26" s="3" t="s">
        <v>365</v>
      </c>
      <c r="AJ26" s="11" t="s">
        <v>525</v>
      </c>
    </row>
    <row r="27" spans="1:36" ht="58.25" customHeight="1" x14ac:dyDescent="0.35">
      <c r="A27" s="164" t="s">
        <v>481</v>
      </c>
      <c r="B27" s="12"/>
      <c r="C27" s="13"/>
      <c r="D27" s="13" t="s">
        <v>7</v>
      </c>
      <c r="E27" s="13"/>
      <c r="F27" s="13"/>
      <c r="G27" s="12"/>
      <c r="H27" s="13"/>
      <c r="I27" s="13"/>
      <c r="J27" s="13"/>
      <c r="K27" s="13" t="s">
        <v>7</v>
      </c>
      <c r="L27" s="13"/>
      <c r="M27" s="13"/>
      <c r="N27" s="13"/>
      <c r="O27" s="13"/>
      <c r="P27" s="12"/>
      <c r="Q27" s="13" t="s">
        <v>7</v>
      </c>
      <c r="R27" s="12"/>
      <c r="S27" s="13"/>
      <c r="T27" s="13"/>
      <c r="U27" s="13"/>
      <c r="V27" s="13" t="s">
        <v>7</v>
      </c>
      <c r="W27" s="13"/>
      <c r="X27" s="13"/>
      <c r="Y27" s="13"/>
      <c r="Z27" s="13"/>
      <c r="AA27" s="12" t="s">
        <v>7</v>
      </c>
      <c r="AB27" s="13"/>
      <c r="AC27" s="12"/>
      <c r="AD27" s="13" t="s">
        <v>7</v>
      </c>
      <c r="AE27" s="13"/>
      <c r="AF27" s="12"/>
      <c r="AG27" s="63" t="s">
        <v>7</v>
      </c>
      <c r="AH27" s="170" t="s">
        <v>322</v>
      </c>
      <c r="AI27" s="11" t="s">
        <v>322</v>
      </c>
      <c r="AJ27" s="11" t="s">
        <v>526</v>
      </c>
    </row>
    <row r="28" spans="1:36" ht="50.25" customHeight="1" x14ac:dyDescent="0.35">
      <c r="A28" s="164" t="s">
        <v>482</v>
      </c>
      <c r="B28" s="12"/>
      <c r="C28" s="13"/>
      <c r="D28" s="13"/>
      <c r="E28" s="13"/>
      <c r="F28" s="13" t="s">
        <v>7</v>
      </c>
      <c r="G28" s="12"/>
      <c r="H28" s="13"/>
      <c r="I28" s="13" t="s">
        <v>7</v>
      </c>
      <c r="J28" s="13"/>
      <c r="K28" s="13"/>
      <c r="L28" s="13"/>
      <c r="M28" s="13"/>
      <c r="N28" s="13"/>
      <c r="O28" s="13"/>
      <c r="P28" s="12" t="s">
        <v>7</v>
      </c>
      <c r="Q28" s="13"/>
      <c r="R28" s="12"/>
      <c r="S28" s="13"/>
      <c r="T28" s="13"/>
      <c r="U28" s="13"/>
      <c r="V28" s="13" t="s">
        <v>7</v>
      </c>
      <c r="W28" s="13"/>
      <c r="X28" s="13"/>
      <c r="Y28" s="13"/>
      <c r="Z28" s="13"/>
      <c r="AA28" s="12"/>
      <c r="AB28" s="13" t="s">
        <v>7</v>
      </c>
      <c r="AC28" s="12"/>
      <c r="AD28" s="13" t="s">
        <v>7</v>
      </c>
      <c r="AE28" s="13"/>
      <c r="AF28" s="12" t="s">
        <v>7</v>
      </c>
      <c r="AG28" s="63" t="s">
        <v>7</v>
      </c>
      <c r="AH28" s="170" t="s">
        <v>360</v>
      </c>
      <c r="AI28" s="151" t="s">
        <v>360</v>
      </c>
      <c r="AJ28" s="11" t="s">
        <v>385</v>
      </c>
    </row>
    <row r="29" spans="1:36" ht="51" customHeight="1" x14ac:dyDescent="0.35">
      <c r="A29" s="164" t="s">
        <v>483</v>
      </c>
      <c r="B29" s="12"/>
      <c r="C29" s="13"/>
      <c r="D29" s="13" t="s">
        <v>7</v>
      </c>
      <c r="E29" s="13" t="s">
        <v>7</v>
      </c>
      <c r="F29" s="13"/>
      <c r="G29" s="12"/>
      <c r="H29" s="13"/>
      <c r="I29" s="13" t="s">
        <v>7</v>
      </c>
      <c r="J29" s="13"/>
      <c r="K29" s="13"/>
      <c r="L29" s="13"/>
      <c r="M29" s="13"/>
      <c r="N29" s="13"/>
      <c r="O29" s="13"/>
      <c r="P29" s="12" t="s">
        <v>7</v>
      </c>
      <c r="Q29" s="13"/>
      <c r="R29" s="12"/>
      <c r="S29" s="13" t="s">
        <v>7</v>
      </c>
      <c r="T29" s="13"/>
      <c r="U29" s="13"/>
      <c r="V29" s="13"/>
      <c r="W29" s="13"/>
      <c r="X29" s="13"/>
      <c r="Y29" s="13"/>
      <c r="Z29" s="13"/>
      <c r="AA29" s="12" t="s">
        <v>7</v>
      </c>
      <c r="AB29" s="13"/>
      <c r="AC29" s="12" t="s">
        <v>7</v>
      </c>
      <c r="AD29" s="13"/>
      <c r="AE29" s="13"/>
      <c r="AF29" s="12"/>
      <c r="AG29" s="63" t="s">
        <v>7</v>
      </c>
      <c r="AH29" s="170" t="s">
        <v>333</v>
      </c>
      <c r="AI29" s="151" t="s">
        <v>348</v>
      </c>
      <c r="AJ29" s="11" t="s">
        <v>524</v>
      </c>
    </row>
    <row r="30" spans="1:36" ht="47.4" customHeight="1" x14ac:dyDescent="0.35">
      <c r="A30" s="165" t="s">
        <v>484</v>
      </c>
      <c r="B30" s="12"/>
      <c r="C30" s="13"/>
      <c r="D30" s="13"/>
      <c r="E30" s="13"/>
      <c r="F30" s="13" t="s">
        <v>7</v>
      </c>
      <c r="G30" s="12"/>
      <c r="H30" s="13"/>
      <c r="I30" s="13" t="s">
        <v>7</v>
      </c>
      <c r="J30" s="13"/>
      <c r="K30" s="13"/>
      <c r="L30" s="13"/>
      <c r="M30" s="13"/>
      <c r="N30" s="13"/>
      <c r="O30" s="13"/>
      <c r="P30" s="12" t="s">
        <v>7</v>
      </c>
      <c r="Q30" s="13"/>
      <c r="R30" s="12"/>
      <c r="S30" s="13" t="s">
        <v>7</v>
      </c>
      <c r="T30" s="13"/>
      <c r="U30" s="13"/>
      <c r="V30" s="13"/>
      <c r="W30" s="13"/>
      <c r="X30" s="13"/>
      <c r="Y30" s="13"/>
      <c r="Z30" s="13"/>
      <c r="AA30" s="12" t="s">
        <v>7</v>
      </c>
      <c r="AB30" s="13"/>
      <c r="AC30" s="12"/>
      <c r="AD30" s="13" t="s">
        <v>7</v>
      </c>
      <c r="AE30" s="13"/>
      <c r="AF30" s="12"/>
      <c r="AG30" s="63" t="s">
        <v>7</v>
      </c>
      <c r="AH30" s="11" t="s">
        <v>357</v>
      </c>
      <c r="AI30" s="3" t="s">
        <v>356</v>
      </c>
      <c r="AJ30" s="11" t="s">
        <v>527</v>
      </c>
    </row>
    <row r="31" spans="1:36" ht="59.25" customHeight="1" x14ac:dyDescent="0.35">
      <c r="A31" s="164" t="s">
        <v>485</v>
      </c>
      <c r="B31" s="12"/>
      <c r="C31" s="13"/>
      <c r="D31" s="13"/>
      <c r="E31" s="13"/>
      <c r="F31" s="13" t="s">
        <v>7</v>
      </c>
      <c r="G31" s="12"/>
      <c r="H31" s="13"/>
      <c r="I31" s="13"/>
      <c r="J31" s="13"/>
      <c r="K31" s="13"/>
      <c r="L31" s="13"/>
      <c r="M31" s="13"/>
      <c r="N31" s="13"/>
      <c r="O31" s="13" t="s">
        <v>7</v>
      </c>
      <c r="P31" s="12"/>
      <c r="Q31" s="13" t="s">
        <v>7</v>
      </c>
      <c r="R31" s="12"/>
      <c r="S31" s="13"/>
      <c r="T31" s="13"/>
      <c r="U31" s="13"/>
      <c r="V31" s="13"/>
      <c r="W31" s="13"/>
      <c r="X31" s="13"/>
      <c r="Y31" s="13"/>
      <c r="Z31" s="13" t="s">
        <v>7</v>
      </c>
      <c r="AA31" s="12"/>
      <c r="AB31" s="13" t="s">
        <v>7</v>
      </c>
      <c r="AC31" s="12"/>
      <c r="AD31" s="13" t="s">
        <v>7</v>
      </c>
      <c r="AE31" s="13"/>
      <c r="AF31" s="12"/>
      <c r="AG31" s="63" t="s">
        <v>7</v>
      </c>
      <c r="AH31" s="11" t="s">
        <v>359</v>
      </c>
      <c r="AI31" s="3" t="s">
        <v>359</v>
      </c>
      <c r="AJ31" s="11" t="s">
        <v>523</v>
      </c>
    </row>
    <row r="32" spans="1:36" ht="50.4" customHeight="1" x14ac:dyDescent="0.35">
      <c r="A32" s="164" t="s">
        <v>486</v>
      </c>
      <c r="B32" s="12"/>
      <c r="C32" s="13"/>
      <c r="D32" s="13"/>
      <c r="E32" s="13"/>
      <c r="F32" s="13" t="s">
        <v>7</v>
      </c>
      <c r="G32" s="12"/>
      <c r="H32" s="13"/>
      <c r="I32" s="13"/>
      <c r="J32" s="13"/>
      <c r="K32" s="13"/>
      <c r="L32" s="13" t="s">
        <v>7</v>
      </c>
      <c r="M32" s="13"/>
      <c r="N32" s="13"/>
      <c r="O32" s="13"/>
      <c r="P32" s="12"/>
      <c r="Q32" s="13" t="s">
        <v>7</v>
      </c>
      <c r="R32" s="12"/>
      <c r="S32" s="13"/>
      <c r="T32" s="13"/>
      <c r="U32" s="13"/>
      <c r="V32" s="13"/>
      <c r="W32" s="13"/>
      <c r="X32" s="13"/>
      <c r="Y32" s="13" t="s">
        <v>7</v>
      </c>
      <c r="Z32" s="13"/>
      <c r="AA32" s="12"/>
      <c r="AB32" s="13" t="s">
        <v>7</v>
      </c>
      <c r="AC32" s="12"/>
      <c r="AD32" s="13" t="s">
        <v>7</v>
      </c>
      <c r="AE32" s="13"/>
      <c r="AF32" s="12" t="s">
        <v>7</v>
      </c>
      <c r="AG32" s="63"/>
      <c r="AH32" s="11" t="s">
        <v>534</v>
      </c>
      <c r="AI32" s="3" t="s">
        <v>358</v>
      </c>
      <c r="AJ32" s="11" t="s">
        <v>521</v>
      </c>
    </row>
    <row r="33" spans="1:36" ht="85.5" customHeight="1" x14ac:dyDescent="0.35">
      <c r="A33" s="164" t="s">
        <v>487</v>
      </c>
      <c r="B33" s="12"/>
      <c r="C33" s="13" t="s">
        <v>176</v>
      </c>
      <c r="D33" s="13"/>
      <c r="E33" s="13" t="s">
        <v>176</v>
      </c>
      <c r="F33" s="64" t="s">
        <v>176</v>
      </c>
      <c r="G33" s="12"/>
      <c r="H33" s="13"/>
      <c r="I33" s="13"/>
      <c r="J33" s="13"/>
      <c r="K33" s="13"/>
      <c r="L33" s="13"/>
      <c r="M33" s="13" t="s">
        <v>7</v>
      </c>
      <c r="N33" s="13"/>
      <c r="O33" s="13"/>
      <c r="P33" s="12"/>
      <c r="Q33" s="13" t="s">
        <v>7</v>
      </c>
      <c r="R33" s="12"/>
      <c r="S33" s="13"/>
      <c r="T33" s="13"/>
      <c r="U33" s="13" t="s">
        <v>7</v>
      </c>
      <c r="V33" s="13"/>
      <c r="W33" s="13"/>
      <c r="X33" s="13"/>
      <c r="Y33" s="13"/>
      <c r="Z33" s="13"/>
      <c r="AA33" s="12" t="s">
        <v>7</v>
      </c>
      <c r="AB33" s="13"/>
      <c r="AC33" s="12"/>
      <c r="AD33" s="13" t="s">
        <v>7</v>
      </c>
      <c r="AE33" s="13"/>
      <c r="AF33" s="12"/>
      <c r="AG33" s="63" t="s">
        <v>7</v>
      </c>
      <c r="AH33" s="11" t="s">
        <v>334</v>
      </c>
      <c r="AI33" s="3" t="s">
        <v>397</v>
      </c>
      <c r="AJ33" s="11" t="s">
        <v>522</v>
      </c>
    </row>
    <row r="34" spans="1:36" x14ac:dyDescent="0.35">
      <c r="A34" s="11"/>
      <c r="B34" s="12"/>
      <c r="C34" s="13"/>
      <c r="D34" s="13"/>
      <c r="E34" s="13"/>
      <c r="F34" s="13"/>
      <c r="G34" s="12"/>
      <c r="H34" s="13"/>
      <c r="I34" s="13"/>
      <c r="J34" s="13"/>
      <c r="K34" s="13"/>
      <c r="L34" s="13"/>
      <c r="M34" s="13"/>
      <c r="N34" s="13"/>
      <c r="O34" s="13"/>
      <c r="P34" s="12"/>
      <c r="Q34" s="13"/>
      <c r="R34" s="12"/>
      <c r="S34" s="13"/>
      <c r="T34" s="13"/>
      <c r="U34" s="13"/>
      <c r="V34" s="13"/>
      <c r="W34" s="13"/>
      <c r="X34" s="13"/>
      <c r="Y34" s="13"/>
      <c r="Z34" s="13"/>
      <c r="AA34" s="12"/>
      <c r="AB34" s="13"/>
      <c r="AC34" s="12"/>
      <c r="AD34" s="13"/>
      <c r="AE34" s="13"/>
      <c r="AF34" s="12"/>
      <c r="AG34" s="63"/>
      <c r="AH34" s="11"/>
      <c r="AI34" s="3"/>
      <c r="AJ34" s="11"/>
    </row>
    <row r="35" spans="1:36" x14ac:dyDescent="0.35">
      <c r="A35" s="164"/>
      <c r="B35" s="4" t="s">
        <v>367</v>
      </c>
      <c r="AD35"/>
    </row>
    <row r="36" spans="1:36" x14ac:dyDescent="0.35">
      <c r="AD36"/>
    </row>
    <row r="37" spans="1:36" x14ac:dyDescent="0.35">
      <c r="AD37"/>
    </row>
    <row r="38" spans="1:36" x14ac:dyDescent="0.35">
      <c r="AD38"/>
    </row>
  </sheetData>
  <mergeCells count="4">
    <mergeCell ref="AC1:AG1"/>
    <mergeCell ref="B1:F1"/>
    <mergeCell ref="G1:Q1"/>
    <mergeCell ref="R1:A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6"/>
  <sheetViews>
    <sheetView zoomScale="70" zoomScaleNormal="70" workbookViewId="0"/>
  </sheetViews>
  <sheetFormatPr defaultColWidth="8.81640625" defaultRowHeight="14.5" x14ac:dyDescent="0.35"/>
  <cols>
    <col min="1" max="18" width="11.453125" style="28" customWidth="1"/>
    <col min="19" max="16384" width="8.81640625" style="28"/>
  </cols>
  <sheetData>
    <row r="1" spans="1:15" x14ac:dyDescent="0.35">
      <c r="A1" s="95" t="s">
        <v>386</v>
      </c>
    </row>
    <row r="2" spans="1:15" x14ac:dyDescent="0.35">
      <c r="A2" s="28" t="s">
        <v>406</v>
      </c>
      <c r="F2" s="16"/>
      <c r="G2" s="26"/>
      <c r="H2" s="26"/>
      <c r="I2" s="26"/>
      <c r="J2" s="26"/>
      <c r="K2" s="26"/>
      <c r="L2" s="26"/>
      <c r="M2" s="16"/>
    </row>
    <row r="3" spans="1:15" x14ac:dyDescent="0.35">
      <c r="A3" s="96" t="s">
        <v>164</v>
      </c>
      <c r="B3" s="91" t="s">
        <v>301</v>
      </c>
      <c r="C3" s="92" t="s">
        <v>300</v>
      </c>
      <c r="E3" s="59"/>
      <c r="F3" s="59"/>
      <c r="G3" s="59"/>
      <c r="H3" s="59"/>
      <c r="I3" s="59"/>
      <c r="J3" s="59"/>
      <c r="K3" s="59"/>
      <c r="L3" s="59"/>
      <c r="M3" s="59"/>
      <c r="N3" s="59"/>
    </row>
    <row r="4" spans="1:15" x14ac:dyDescent="0.35">
      <c r="A4" s="97">
        <v>585</v>
      </c>
      <c r="B4" s="98">
        <f>COUNTA('Data - Localities'!B3:B33)</f>
        <v>2</v>
      </c>
      <c r="C4" s="28">
        <f>COUNTA('Data - Taxa'!AH3:AH169)</f>
        <v>10</v>
      </c>
      <c r="E4" s="59"/>
      <c r="F4" s="59"/>
      <c r="G4" s="59"/>
      <c r="H4" s="59"/>
      <c r="I4" s="59"/>
      <c r="J4" s="59"/>
      <c r="K4" s="59"/>
      <c r="L4" s="59"/>
      <c r="M4" s="59"/>
      <c r="N4" s="59"/>
    </row>
    <row r="5" spans="1:15" x14ac:dyDescent="0.35">
      <c r="A5" s="97">
        <v>575</v>
      </c>
      <c r="B5" s="98">
        <f>COUNTA('Data - Localities'!C3:C33)</f>
        <v>3</v>
      </c>
      <c r="C5" s="28">
        <f>COUNTA('Data - Taxa'!AI3:AI169)</f>
        <v>14</v>
      </c>
      <c r="E5" s="59"/>
      <c r="F5" s="59"/>
      <c r="G5" s="59"/>
      <c r="H5" s="59"/>
      <c r="I5" s="59"/>
      <c r="J5" s="59"/>
      <c r="K5" s="59"/>
      <c r="L5" s="59"/>
      <c r="M5" s="59"/>
      <c r="N5" s="59"/>
    </row>
    <row r="6" spans="1:15" x14ac:dyDescent="0.35">
      <c r="A6" s="97">
        <v>565</v>
      </c>
      <c r="B6" s="98">
        <f>COUNTA('Data - Localities'!D3:D33)</f>
        <v>4</v>
      </c>
      <c r="C6" s="28">
        <f>COUNTA('Data - Taxa'!AJ3:AJ169)</f>
        <v>25</v>
      </c>
      <c r="E6" s="59"/>
      <c r="F6" s="59"/>
      <c r="G6" s="59"/>
      <c r="H6" s="59"/>
      <c r="I6" s="59"/>
      <c r="J6" s="59"/>
      <c r="K6" s="59"/>
      <c r="L6" s="59"/>
      <c r="M6" s="59"/>
      <c r="N6" s="59"/>
    </row>
    <row r="7" spans="1:15" x14ac:dyDescent="0.35">
      <c r="A7" s="97">
        <v>555</v>
      </c>
      <c r="B7" s="98">
        <f>COUNTA('Data - Localities'!E3:E33)</f>
        <v>13</v>
      </c>
      <c r="C7" s="28">
        <f>COUNTA('Data - Taxa'!AK3:AK169)</f>
        <v>110</v>
      </c>
      <c r="E7" s="59"/>
      <c r="F7" s="59"/>
      <c r="G7" s="59"/>
      <c r="H7" s="59"/>
      <c r="I7" s="59"/>
      <c r="J7" s="59"/>
      <c r="K7" s="59"/>
      <c r="L7" s="59"/>
      <c r="M7" s="59"/>
      <c r="N7" s="59"/>
    </row>
    <row r="8" spans="1:15" x14ac:dyDescent="0.35">
      <c r="A8" s="99">
        <v>545</v>
      </c>
      <c r="B8" s="100">
        <f>COUNTA('Data - Localities'!F3:F33)</f>
        <v>17</v>
      </c>
      <c r="C8" s="32">
        <f>COUNTA('Data - Taxa'!AL3:AL169)</f>
        <v>60</v>
      </c>
      <c r="E8" s="59"/>
      <c r="F8" s="59"/>
      <c r="G8" s="59"/>
      <c r="H8" s="59"/>
      <c r="I8" s="59"/>
      <c r="J8" s="59"/>
      <c r="K8" s="59"/>
      <c r="L8" s="59"/>
      <c r="M8" s="59"/>
      <c r="N8" s="59"/>
    </row>
    <row r="9" spans="1:15" x14ac:dyDescent="0.35">
      <c r="A9" s="97" t="s">
        <v>302</v>
      </c>
      <c r="B9" s="98">
        <f>SUM(B4:B8)</f>
        <v>39</v>
      </c>
      <c r="C9" s="28">
        <f>SUM(C4:C8)</f>
        <v>219</v>
      </c>
      <c r="E9" s="59"/>
      <c r="F9" s="59"/>
      <c r="G9" s="59"/>
      <c r="H9" s="59"/>
      <c r="I9" s="59"/>
      <c r="J9" s="59"/>
      <c r="K9" s="59"/>
      <c r="L9" s="59"/>
      <c r="M9" s="59"/>
      <c r="N9" s="59"/>
    </row>
    <row r="10" spans="1:15" x14ac:dyDescent="0.35">
      <c r="J10" s="58"/>
      <c r="K10" s="58"/>
      <c r="L10" s="58"/>
      <c r="M10" s="58"/>
      <c r="N10" s="58"/>
    </row>
    <row r="11" spans="1:15" x14ac:dyDescent="0.35">
      <c r="A11" s="101" t="s">
        <v>416</v>
      </c>
      <c r="J11" s="58"/>
      <c r="K11" s="58"/>
      <c r="L11" s="58"/>
      <c r="M11" s="58"/>
      <c r="N11" s="58"/>
    </row>
    <row r="12" spans="1:15" x14ac:dyDescent="0.35">
      <c r="A12" s="108" t="s">
        <v>535</v>
      </c>
      <c r="J12" s="58"/>
      <c r="K12" s="58"/>
      <c r="L12" s="58"/>
      <c r="M12" s="58"/>
      <c r="N12" s="58"/>
    </row>
    <row r="13" spans="1:15" x14ac:dyDescent="0.35">
      <c r="A13" s="102"/>
      <c r="B13" s="192" t="s">
        <v>425</v>
      </c>
      <c r="C13" s="193"/>
      <c r="D13" s="194" t="s">
        <v>424</v>
      </c>
      <c r="E13" s="195"/>
      <c r="F13" s="192" t="s">
        <v>408</v>
      </c>
      <c r="G13" s="192"/>
      <c r="H13" s="194" t="s">
        <v>409</v>
      </c>
      <c r="I13" s="196"/>
      <c r="J13" s="103"/>
      <c r="K13" s="103"/>
      <c r="L13" s="58"/>
      <c r="M13" s="58"/>
      <c r="N13" s="58"/>
      <c r="O13" s="58"/>
    </row>
    <row r="14" spans="1:15" x14ac:dyDescent="0.35">
      <c r="A14" s="96" t="s">
        <v>164</v>
      </c>
      <c r="B14" s="91" t="s">
        <v>309</v>
      </c>
      <c r="C14" s="93" t="s">
        <v>310</v>
      </c>
      <c r="D14" s="104" t="s">
        <v>309</v>
      </c>
      <c r="E14" s="105" t="s">
        <v>310</v>
      </c>
      <c r="F14" s="94" t="s">
        <v>309</v>
      </c>
      <c r="G14" s="94" t="s">
        <v>310</v>
      </c>
      <c r="H14" s="104" t="s">
        <v>309</v>
      </c>
      <c r="I14" s="106" t="s">
        <v>310</v>
      </c>
      <c r="J14" s="107"/>
      <c r="K14" s="107"/>
      <c r="L14" s="107"/>
      <c r="M14" s="107"/>
      <c r="N14" s="107"/>
      <c r="O14" s="107"/>
    </row>
    <row r="15" spans="1:15" x14ac:dyDescent="0.35">
      <c r="A15" s="97">
        <v>585</v>
      </c>
      <c r="B15" s="57">
        <f>COUNTIFS('Data - Localities'!B3:B161,"&lt;&gt;",'Data - Localities'!Q3:Q161,"&lt;&gt;")</f>
        <v>2</v>
      </c>
      <c r="C15" s="60">
        <f>COUNTIFS('Data - Localities'!B3:B161,"&lt;&gt;",'Data - Localities'!P3:P161,"&lt;&gt;")</f>
        <v>0</v>
      </c>
      <c r="D15" s="57">
        <f>COUNTIFS('Data - Taxa'!BK3:BK169, "Y",'Data - Taxa'!AH3:AH169,"Y")</f>
        <v>10</v>
      </c>
      <c r="E15" s="60">
        <f>COUNTIFS('Data - Taxa'!BJ3:BJ169, "Y",'Data - Taxa'!AH3:AH169,"Y")-2</f>
        <v>0</v>
      </c>
      <c r="F15" s="57">
        <f>COUNTIFS('Data - Localities'!B3:B161,"&lt;&gt;",'Data - Localities'!AB3:AB161,"&lt;&gt;")</f>
        <v>2</v>
      </c>
      <c r="G15" s="60">
        <f>COUNTIFS('Data - Localities'!B3:B161,"&lt;&gt;",'Data - Localities'!AA3:AA161,"&lt;&gt;")</f>
        <v>0</v>
      </c>
      <c r="H15" s="57">
        <f>COUNTIFS('Data - Taxa'!BV3:BV169, "Y",'Data - Taxa'!AH3:AH169,"Y")</f>
        <v>10</v>
      </c>
      <c r="I15" s="28">
        <f>COUNTIFS('Data - Taxa'!BU3:BU169, "Y",'Data - Taxa'!AH3:AH169,"Y") -2</f>
        <v>0</v>
      </c>
      <c r="J15" s="58"/>
      <c r="K15" s="58"/>
      <c r="L15" s="58"/>
      <c r="M15" s="58"/>
      <c r="N15" s="58"/>
    </row>
    <row r="16" spans="1:15" x14ac:dyDescent="0.35">
      <c r="A16" s="97">
        <v>575</v>
      </c>
      <c r="B16" s="57">
        <f>COUNTIFS('Data - Localities'!C3:C161,"&lt;&gt;",'Data - Localities'!Q3:Q161,"&lt;&gt;")</f>
        <v>2</v>
      </c>
      <c r="C16" s="60">
        <f>COUNTIFS('Data - Localities'!C3:C161,"&lt;&gt;",'Data - Localities'!P3:P161,"&lt;&gt;")</f>
        <v>1</v>
      </c>
      <c r="D16" s="57">
        <f>COUNTIFS('Data - Taxa'!BK3:BK169, "Y",'Data - Taxa'!AI3:AI169,"Y")-3</f>
        <v>8</v>
      </c>
      <c r="E16" s="60">
        <f>COUNTIFS('Data - Taxa'!BJ3:BJ169, "Y",'Data - Taxa'!AI3:AI169,"Y")-1</f>
        <v>10</v>
      </c>
      <c r="F16" s="57">
        <f>COUNTIFS('Data - Localities'!C3:C161,"&lt;&gt;",'Data - Localities'!AB3:AB161,"&lt;&gt;")</f>
        <v>1</v>
      </c>
      <c r="G16" s="60">
        <f>COUNTIFS('Data - Localities'!C3:C161,"&lt;&gt;",'Data - Localities'!AA3:AA161,"&lt;&gt;")</f>
        <v>2</v>
      </c>
      <c r="H16" s="57">
        <f>COUNTIFS('Data - Taxa'!BV3:BV169, "Y",'Data - Taxa'!AI3:AI169,"Y")-3</f>
        <v>5</v>
      </c>
      <c r="I16" s="28">
        <f>COUNTIFS('Data - Taxa'!BU3:BU169, "Y",'Data - Taxa'!AI3:AI169,"Y")</f>
        <v>13</v>
      </c>
      <c r="J16" s="58"/>
      <c r="K16" s="58"/>
      <c r="L16" s="58"/>
      <c r="M16" s="58"/>
      <c r="N16" s="58"/>
    </row>
    <row r="17" spans="1:15" x14ac:dyDescent="0.35">
      <c r="A17" s="97">
        <v>565</v>
      </c>
      <c r="B17" s="57">
        <f>COUNTIFS('Data - Localities'!D3:D161,"&lt;&gt;",'Data - Localities'!Q3:Q161,"&lt;&gt;")</f>
        <v>2</v>
      </c>
      <c r="C17" s="60">
        <f>COUNTIFS('Data - Localities'!D3:D161,"&lt;&gt;",'Data - Localities'!P3:P161,"&lt;&gt;")</f>
        <v>2</v>
      </c>
      <c r="D17" s="57">
        <f>COUNTIFS('Data - Taxa'!BK3:BK169, "Y",'Data - Taxa'!AJ3:AJ169,"Y")-6</f>
        <v>3</v>
      </c>
      <c r="E17" s="60">
        <f>COUNTIFS('Data - Taxa'!BJ3:BJ169, "Y",'Data - Taxa'!AJ3:AJ169,"Y")</f>
        <v>25</v>
      </c>
      <c r="F17" s="57">
        <f>COUNTIFS('Data - Localities'!D3:D161,"&lt;&gt;",'Data - Localities'!AB3:AB161,"&lt;&gt;")</f>
        <v>1</v>
      </c>
      <c r="G17" s="60">
        <f>COUNTIFS('Data - Localities'!D3:D161,"&lt;&gt;",'Data - Localities'!AA3:AA161,"&lt;&gt;")</f>
        <v>3</v>
      </c>
      <c r="H17" s="57">
        <f>COUNTIFS('Data - Taxa'!BV3:BV169, "Y",'Data - Taxa'!AJ3:AJ169,"Y")-6</f>
        <v>2</v>
      </c>
      <c r="I17" s="28">
        <f>COUNTIFS('Data - Taxa'!BU3:BU169, "Y",'Data - Taxa'!AJ3:AJ169,"Y")</f>
        <v>25</v>
      </c>
      <c r="J17" s="58"/>
      <c r="K17" s="58"/>
      <c r="L17" s="58"/>
      <c r="M17" s="58"/>
      <c r="N17" s="58"/>
    </row>
    <row r="18" spans="1:15" x14ac:dyDescent="0.35">
      <c r="A18" s="97">
        <v>555</v>
      </c>
      <c r="B18" s="57">
        <f>COUNTIFS('Data - Localities'!E3:E161,"&lt;&gt;",'Data - Localities'!Q3:Q161,"&lt;&gt;")</f>
        <v>11</v>
      </c>
      <c r="C18" s="60">
        <f>COUNTIFS('Data - Localities'!E3:E161,"&lt;&gt;",'Data - Localities'!P3:P161,"&lt;&gt;")</f>
        <v>2</v>
      </c>
      <c r="D18" s="57">
        <f>COUNTIFS('Data - Taxa'!BK3:BK169, "Y",'Data - Taxa'!AK3:AK169,"Y")-1</f>
        <v>107</v>
      </c>
      <c r="E18" s="60">
        <f>COUNTIFS('Data - Taxa'!BJ3:BJ169, "Y",'Data - Taxa'!AK3:AK169,"Y")-12</f>
        <v>8</v>
      </c>
      <c r="F18" s="57">
        <f>COUNTIFS('Data - Localities'!E3:E161,"&lt;&gt;",'Data - Localities'!AB3:AB161,"&lt;&gt;")</f>
        <v>6</v>
      </c>
      <c r="G18" s="60">
        <f>COUNTIFS('Data - Localities'!E3:E161,"&lt;&gt;",'Data - Localities'!AA3:AA161,"&lt;&gt;")</f>
        <v>7</v>
      </c>
      <c r="H18" s="57">
        <f>COUNTIFS('Data - Taxa'!BV3:BV169, "Y",'Data - Taxa'!AK3:AK169,"Y")-10</f>
        <v>65</v>
      </c>
      <c r="I18" s="28">
        <f>COUNTIFS('Data - Taxa'!BU3:BU169, "Y",'Data - Taxa'!AK3:AK169,"Y")-1</f>
        <v>74</v>
      </c>
      <c r="J18" s="58"/>
      <c r="K18" s="58"/>
      <c r="L18" s="58"/>
      <c r="M18" s="58"/>
      <c r="N18" s="58"/>
    </row>
    <row r="19" spans="1:15" x14ac:dyDescent="0.35">
      <c r="A19" s="99">
        <v>545</v>
      </c>
      <c r="B19" s="56">
        <f>COUNTIFS('Data - Localities'!F3:F161,"&lt;&gt;",'Data - Localities'!Q3:Q161,"&lt;&gt;")</f>
        <v>12</v>
      </c>
      <c r="C19" s="61">
        <f>COUNTIFS('Data - Localities'!F3:F161,"&lt;&gt;",'Data - Localities'!P3:P161,"&lt;&gt;")</f>
        <v>5</v>
      </c>
      <c r="D19" s="56">
        <f>COUNTIFS('Data - Taxa'!BK3:BK169, "Y",'Data - Taxa'!AL3:AL169,"Y")-7</f>
        <v>47</v>
      </c>
      <c r="E19" s="61">
        <f>COUNTIFS('Data - Taxa'!BJ3:BJ169, "Y",'Data - Taxa'!AL3:AL169,"Y")-3</f>
        <v>26</v>
      </c>
      <c r="F19" s="56">
        <f>COUNTIFS('Data - Localities'!F3:F161,"&lt;&gt;",'Data - Localities'!AB3:AB161,"&lt;&gt;")</f>
        <v>13</v>
      </c>
      <c r="G19" s="61">
        <f>COUNTIFS('Data - Localities'!F3:F161,"&lt;&gt;",'Data - Localities'!AA3:AA161,"&lt;&gt;")</f>
        <v>4</v>
      </c>
      <c r="H19" s="56">
        <f>COUNTIFS('Data - Taxa'!BV3:BV169, "Y",'Data - Taxa'!AL3:AL169,"Y")-1</f>
        <v>55</v>
      </c>
      <c r="I19" s="32">
        <f>COUNTIFS('Data - Taxa'!BU3:BU169, "Y",'Data - Taxa'!AL3:AL169,"Y")-18</f>
        <v>14</v>
      </c>
      <c r="J19" s="58"/>
      <c r="K19" s="58"/>
      <c r="L19" s="58"/>
      <c r="M19" s="58"/>
      <c r="N19" s="58"/>
    </row>
    <row r="20" spans="1:15" x14ac:dyDescent="0.35">
      <c r="A20" s="97" t="s">
        <v>302</v>
      </c>
      <c r="B20" s="57">
        <f t="shared" ref="B20:I20" si="0">SUM(B15:B19)</f>
        <v>29</v>
      </c>
      <c r="C20" s="60">
        <f t="shared" si="0"/>
        <v>10</v>
      </c>
      <c r="D20" s="57">
        <f t="shared" si="0"/>
        <v>175</v>
      </c>
      <c r="E20" s="60">
        <f t="shared" si="0"/>
        <v>69</v>
      </c>
      <c r="F20" s="57">
        <f t="shared" si="0"/>
        <v>23</v>
      </c>
      <c r="G20" s="60">
        <f t="shared" si="0"/>
        <v>16</v>
      </c>
      <c r="H20" s="57">
        <f t="shared" si="0"/>
        <v>137</v>
      </c>
      <c r="I20" s="28">
        <f t="shared" si="0"/>
        <v>126</v>
      </c>
      <c r="J20" s="58"/>
      <c r="K20" s="58"/>
      <c r="L20" s="58"/>
      <c r="M20" s="58"/>
      <c r="N20" s="58"/>
    </row>
    <row r="22" spans="1:15" x14ac:dyDescent="0.35">
      <c r="A22" s="101" t="s">
        <v>417</v>
      </c>
      <c r="B22" s="108"/>
      <c r="C22" s="108"/>
      <c r="D22" s="108"/>
      <c r="E22" s="108"/>
      <c r="F22" s="108"/>
      <c r="G22" s="108"/>
      <c r="H22" s="108"/>
      <c r="I22" s="108"/>
    </row>
    <row r="23" spans="1:15" x14ac:dyDescent="0.35">
      <c r="A23" s="108" t="s">
        <v>536</v>
      </c>
      <c r="B23" s="108"/>
      <c r="C23" s="108"/>
      <c r="D23" s="108"/>
      <c r="E23" s="108"/>
      <c r="F23" s="108"/>
      <c r="G23" s="108"/>
      <c r="H23" s="108"/>
      <c r="I23" s="108"/>
    </row>
    <row r="24" spans="1:15" x14ac:dyDescent="0.35">
      <c r="A24" s="109"/>
      <c r="B24" s="101"/>
      <c r="C24" s="101"/>
      <c r="D24" s="197" t="s">
        <v>426</v>
      </c>
      <c r="E24" s="198"/>
      <c r="F24" s="101"/>
      <c r="G24" s="101"/>
      <c r="H24" s="197" t="s">
        <v>410</v>
      </c>
      <c r="I24" s="199"/>
    </row>
    <row r="25" spans="1:15" x14ac:dyDescent="0.35">
      <c r="A25" s="110" t="s">
        <v>164</v>
      </c>
      <c r="B25" s="101"/>
      <c r="C25" s="101"/>
      <c r="D25" s="111" t="s">
        <v>309</v>
      </c>
      <c r="E25" s="112" t="s">
        <v>310</v>
      </c>
      <c r="F25" s="101"/>
      <c r="G25" s="101"/>
      <c r="H25" s="111" t="s">
        <v>309</v>
      </c>
      <c r="I25" s="113" t="s">
        <v>310</v>
      </c>
    </row>
    <row r="26" spans="1:15" x14ac:dyDescent="0.35">
      <c r="A26" s="114">
        <v>585</v>
      </c>
      <c r="D26" s="57">
        <f t="shared" ref="D26:E30" si="1">D15 - (D$20/B$20)*B15</f>
        <v>-2.068965517241379</v>
      </c>
      <c r="E26" s="60">
        <f t="shared" si="1"/>
        <v>0</v>
      </c>
      <c r="H26" s="57">
        <f t="shared" ref="H26:I30" si="2">H15 - (H$20/F$20)*F15</f>
        <v>-1.9130434782608692</v>
      </c>
      <c r="I26" s="28">
        <f t="shared" si="2"/>
        <v>0</v>
      </c>
    </row>
    <row r="27" spans="1:15" x14ac:dyDescent="0.35">
      <c r="A27" s="114">
        <v>575</v>
      </c>
      <c r="D27" s="57">
        <f t="shared" si="1"/>
        <v>-4.068965517241379</v>
      </c>
      <c r="E27" s="60">
        <f t="shared" si="1"/>
        <v>3.0999999999999996</v>
      </c>
      <c r="H27" s="57">
        <f t="shared" si="2"/>
        <v>-0.95652173913043459</v>
      </c>
      <c r="I27" s="28">
        <f t="shared" si="2"/>
        <v>-2.75</v>
      </c>
    </row>
    <row r="28" spans="1:15" x14ac:dyDescent="0.35">
      <c r="A28" s="97">
        <v>565</v>
      </c>
      <c r="B28" s="57"/>
      <c r="C28" s="97"/>
      <c r="D28" s="57">
        <f t="shared" si="1"/>
        <v>-9.068965517241379</v>
      </c>
      <c r="E28" s="60">
        <f t="shared" si="1"/>
        <v>11.2</v>
      </c>
      <c r="H28" s="57">
        <f t="shared" si="2"/>
        <v>-3.9565217391304346</v>
      </c>
      <c r="I28" s="28">
        <f t="shared" si="2"/>
        <v>1.375</v>
      </c>
    </row>
    <row r="29" spans="1:15" x14ac:dyDescent="0.35">
      <c r="A29" s="97">
        <v>555</v>
      </c>
      <c r="B29" s="57"/>
      <c r="C29" s="97"/>
      <c r="D29" s="57">
        <f t="shared" si="1"/>
        <v>40.620689655172413</v>
      </c>
      <c r="E29" s="60">
        <f t="shared" si="1"/>
        <v>-5.8000000000000007</v>
      </c>
      <c r="H29" s="57">
        <f t="shared" si="2"/>
        <v>29.260869565217391</v>
      </c>
      <c r="I29" s="28">
        <f t="shared" si="2"/>
        <v>18.875</v>
      </c>
    </row>
    <row r="30" spans="1:15" x14ac:dyDescent="0.35">
      <c r="A30" s="97">
        <v>545</v>
      </c>
      <c r="B30" s="57"/>
      <c r="C30" s="97"/>
      <c r="D30" s="57">
        <f t="shared" si="1"/>
        <v>-25.41379310344827</v>
      </c>
      <c r="E30" s="60">
        <f t="shared" si="1"/>
        <v>-8.5</v>
      </c>
      <c r="H30" s="57">
        <f t="shared" si="2"/>
        <v>-22.434782608695656</v>
      </c>
      <c r="I30" s="28">
        <f t="shared" si="2"/>
        <v>-17.5</v>
      </c>
    </row>
    <row r="31" spans="1:15" x14ac:dyDescent="0.35">
      <c r="D31" s="58"/>
      <c r="E31" s="58"/>
      <c r="F31" s="58"/>
      <c r="G31" s="58"/>
      <c r="H31" s="97"/>
      <c r="I31" s="58"/>
      <c r="J31" s="58"/>
      <c r="K31" s="58"/>
      <c r="L31" s="58"/>
      <c r="M31" s="58"/>
      <c r="N31" s="58"/>
      <c r="O31" s="58"/>
    </row>
    <row r="32" spans="1:15" x14ac:dyDescent="0.35">
      <c r="A32" s="95" t="s">
        <v>545</v>
      </c>
    </row>
    <row r="33" spans="1:18" x14ac:dyDescent="0.35">
      <c r="A33" s="28" t="s">
        <v>407</v>
      </c>
    </row>
    <row r="34" spans="1:18" x14ac:dyDescent="0.35">
      <c r="A34" s="117" t="s">
        <v>164</v>
      </c>
      <c r="B34" s="118" t="s">
        <v>12</v>
      </c>
      <c r="C34" s="118" t="s">
        <v>173</v>
      </c>
      <c r="D34" s="118" t="s">
        <v>218</v>
      </c>
      <c r="E34" s="118" t="s">
        <v>232</v>
      </c>
      <c r="F34" s="118" t="s">
        <v>54</v>
      </c>
      <c r="G34" s="118" t="s">
        <v>217</v>
      </c>
      <c r="H34" s="118" t="s">
        <v>14</v>
      </c>
      <c r="I34" s="118" t="s">
        <v>46</v>
      </c>
    </row>
    <row r="35" spans="1:18" x14ac:dyDescent="0.35">
      <c r="A35" s="119">
        <v>585</v>
      </c>
      <c r="B35" s="28">
        <f>COUNTIFS('Data - Taxa'!AS3:AS169, "Y",'Data - Taxa'!$AH3:$AH169,"Y")</f>
        <v>4</v>
      </c>
      <c r="C35" s="28">
        <f>COUNTIFS('Data - Taxa'!AT3:AT169, "Y",'Data - Taxa'!$AH3:$AH169,"Y")</f>
        <v>0</v>
      </c>
      <c r="D35" s="28">
        <f>COUNTIFS('Data - Taxa'!AW3:AW169, "Y",'Data - Taxa'!$AH3:$AH169,"Y")</f>
        <v>0</v>
      </c>
      <c r="E35" s="28">
        <f>COUNTIFS('Data - Taxa'!AV3:AV169, "Y",'Data - Taxa'!$AH3:$AH169,"Y")</f>
        <v>0</v>
      </c>
      <c r="F35" s="28">
        <f>COUNTIFS('Data - Taxa'!AX3:AX169, "Y",'Data - Taxa'!$AH3:$AH169,"Y")</f>
        <v>3</v>
      </c>
      <c r="G35" s="28">
        <f>COUNTIFS('Data - Taxa'!AU3:AU169, "Y",'Data - Taxa'!$AH3:$AH169,"Y")</f>
        <v>0</v>
      </c>
      <c r="H35" s="28">
        <f>COUNTIFS('Data - Taxa'!AY3:AY169, "Y",'Data - Taxa'!$AH3:$AH169,"Y")</f>
        <v>0</v>
      </c>
      <c r="I35" s="28">
        <f>COUNTIFS('Data - Taxa'!AZ3:AZ169, "Y",'Data - Taxa'!$AH3:$AH169,"Y")</f>
        <v>3</v>
      </c>
    </row>
    <row r="36" spans="1:18" x14ac:dyDescent="0.35">
      <c r="A36" s="60">
        <v>575</v>
      </c>
      <c r="B36" s="28">
        <f>COUNTIFS('Data - Taxa'!AS3:AS169, "Y",'Data - Taxa'!$AI3:$AI169,"Y")</f>
        <v>0</v>
      </c>
      <c r="C36" s="28">
        <f>COUNTIFS('Data - Taxa'!AT3:AT169, "Y",'Data - Taxa'!$AI3:$AI169,"Y")</f>
        <v>0</v>
      </c>
      <c r="D36" s="28">
        <f>COUNTIFS('Data - Taxa'!AW3:AW169, "Y",'Data - Taxa'!$AI3:$AI169,"Y")</f>
        <v>0</v>
      </c>
      <c r="E36" s="28">
        <f>COUNTIFS('Data - Taxa'!AV3:AV169, "Y",'Data - Taxa'!$AI3:$AI169,"Y")</f>
        <v>8</v>
      </c>
      <c r="F36" s="28">
        <f>COUNTIFS('Data - Taxa'!AX3:AX169, "Y",'Data - Taxa'!$AI3:$AI169,"Y")</f>
        <v>1</v>
      </c>
      <c r="G36" s="28">
        <f>COUNTIFS('Data - Taxa'!AU3:AU169, "Y",'Data - Taxa'!$AI3:$AI169,"Y")</f>
        <v>0</v>
      </c>
      <c r="H36" s="28">
        <f>COUNTIFS('Data - Taxa'!AY3:AY169, "Y",'Data - Taxa'!$AI3:$AI169,"Y")</f>
        <v>3</v>
      </c>
      <c r="I36" s="28">
        <f>COUNTIFS('Data - Taxa'!AZ3:AZ169, "Y",'Data - Taxa'!$AI3:$AI169,"Y")</f>
        <v>2</v>
      </c>
    </row>
    <row r="37" spans="1:18" x14ac:dyDescent="0.35">
      <c r="A37" s="60">
        <v>565</v>
      </c>
      <c r="B37" s="28">
        <f>COUNTIFS('Data - Taxa'!AS3:AS169, "Y",'Data - Taxa'!$AJ3:$AJ169,"Y")</f>
        <v>0</v>
      </c>
      <c r="C37" s="28">
        <f>COUNTIFS('Data - Taxa'!AT3:AT169, "Y",'Data - Taxa'!$AJ3:$AJ169,"Y")</f>
        <v>0</v>
      </c>
      <c r="D37" s="28">
        <f>COUNTIFS('Data - Taxa'!AW3:AW169, "Y",'Data - Taxa'!$AJ3:$AJ169,"Y")</f>
        <v>0</v>
      </c>
      <c r="E37" s="28">
        <f>COUNTIFS('Data - Taxa'!AV3:AV169, "Y",'Data - Taxa'!$AJ3:$AJ169,"Y")</f>
        <v>18</v>
      </c>
      <c r="F37" s="28">
        <f>COUNTIFS('Data - Taxa'!AX3:AX169, "Y",'Data - Taxa'!$AJ3:$AJ169,"Y")</f>
        <v>2</v>
      </c>
      <c r="G37" s="28">
        <f>COUNTIFS('Data - Taxa'!AU3:AU169, "Y",'Data - Taxa'!$AJ3:$AJ169,"Y")</f>
        <v>1</v>
      </c>
      <c r="H37" s="28">
        <f>COUNTIFS('Data - Taxa'!AY3:AY169, "Y",'Data - Taxa'!$AJ3:$AJ169,"Y")</f>
        <v>0</v>
      </c>
      <c r="I37" s="28">
        <f>COUNTIFS('Data - Taxa'!AZ3:AZ169, "Y",'Data - Taxa'!$AJ3:$AJ169,"Y")</f>
        <v>4</v>
      </c>
    </row>
    <row r="38" spans="1:18" x14ac:dyDescent="0.35">
      <c r="A38" s="60">
        <v>555</v>
      </c>
      <c r="B38" s="28">
        <f>COUNTIFS('Data - Taxa'!AS3:AS169, "Y",'Data - Taxa'!$AK3:$AK169,"Y")</f>
        <v>16</v>
      </c>
      <c r="C38" s="28">
        <f>COUNTIFS('Data - Taxa'!AT3:AT169, "Y",'Data - Taxa'!$AK3:$AK169,"Y")</f>
        <v>24</v>
      </c>
      <c r="D38" s="28">
        <f>COUNTIFS('Data - Taxa'!AW3:AW169, "Y",'Data - Taxa'!$AK3:$AK169,"Y")</f>
        <v>4</v>
      </c>
      <c r="E38" s="28">
        <f>COUNTIFS('Data - Taxa'!AV3:AV169, "Y",'Data - Taxa'!$AK3:$AK169,"Y")</f>
        <v>14</v>
      </c>
      <c r="F38" s="28">
        <f>COUNTIFS('Data - Taxa'!AX3:AX169, "Y",'Data - Taxa'!$AK3:$AK169,"Y")</f>
        <v>3</v>
      </c>
      <c r="G38" s="28">
        <f>COUNTIFS('Data - Taxa'!AU3:AU169, "Y",'Data - Taxa'!$AK3:$AK169,"Y")</f>
        <v>11</v>
      </c>
      <c r="H38" s="28">
        <f>COUNTIFS('Data - Taxa'!AY3:AY169, "Y",'Data - Taxa'!$AK3:$AK169,"Y")</f>
        <v>10</v>
      </c>
      <c r="I38" s="28">
        <f>COUNTIFS('Data - Taxa'!AZ3:AZ169, "Y",'Data - Taxa'!$AK3:$AK169,"Y")</f>
        <v>28</v>
      </c>
    </row>
    <row r="39" spans="1:18" x14ac:dyDescent="0.35">
      <c r="A39" s="60">
        <v>545</v>
      </c>
      <c r="B39" s="28">
        <f>COUNTIFS('Data - Taxa'!AS3:AS169, "Y",'Data - Taxa'!$AL3:$AL169,"Y")</f>
        <v>7</v>
      </c>
      <c r="C39" s="28">
        <f>COUNTIFS('Data - Taxa'!AT3:AT169, "Y",'Data - Taxa'!$AL3:$AL169,"Y")</f>
        <v>4</v>
      </c>
      <c r="D39" s="28">
        <f>COUNTIFS('Data - Taxa'!AW3:AW169, "Y",'Data - Taxa'!$AL3:$AL169,"Y")</f>
        <v>4</v>
      </c>
      <c r="E39" s="28">
        <f>COUNTIFS('Data - Taxa'!AV3:AV169, "Y",'Data - Taxa'!$AL3:$AL169,"Y")</f>
        <v>6</v>
      </c>
      <c r="F39" s="28">
        <f>COUNTIFS('Data - Taxa'!AX3:AX169, "Y",'Data - Taxa'!$AL3:$AL169,"Y")</f>
        <v>4</v>
      </c>
      <c r="G39" s="28">
        <f>COUNTIFS('Data - Taxa'!AU3:AU169, "Y",'Data - Taxa'!$AL3:$AL169,"Y")</f>
        <v>6</v>
      </c>
      <c r="H39" s="28">
        <f>COUNTIFS('Data - Taxa'!AY3:AY169, "Y",'Data - Taxa'!$AL3:$AL169,"Y")</f>
        <v>18</v>
      </c>
      <c r="I39" s="28">
        <f>COUNTIFS('Data - Taxa'!AZ3:AZ169, "Y",'Data - Taxa'!$AL3:$AL169,"Y")</f>
        <v>11</v>
      </c>
    </row>
    <row r="40" spans="1:18" x14ac:dyDescent="0.35">
      <c r="A40" t="s">
        <v>546</v>
      </c>
      <c r="B40"/>
      <c r="C40"/>
      <c r="D40"/>
      <c r="E40"/>
      <c r="F40"/>
      <c r="G40"/>
      <c r="H40"/>
      <c r="I40"/>
      <c r="J40"/>
      <c r="K40"/>
      <c r="L40"/>
      <c r="M40"/>
      <c r="N40"/>
      <c r="O40"/>
      <c r="P40"/>
      <c r="Q40"/>
      <c r="R40"/>
    </row>
    <row r="41" spans="1:18" x14ac:dyDescent="0.35">
      <c r="A41" s="51" t="s">
        <v>164</v>
      </c>
      <c r="B41" s="52" t="s">
        <v>12</v>
      </c>
      <c r="C41" s="52" t="s">
        <v>16</v>
      </c>
      <c r="D41" s="52" t="s">
        <v>18</v>
      </c>
      <c r="E41" s="52" t="s">
        <v>24</v>
      </c>
      <c r="F41" s="52" t="s">
        <v>9</v>
      </c>
      <c r="G41" s="52" t="s">
        <v>384</v>
      </c>
      <c r="H41" s="52" t="s">
        <v>62</v>
      </c>
      <c r="I41" s="52" t="s">
        <v>83</v>
      </c>
      <c r="J41" s="52" t="s">
        <v>22</v>
      </c>
      <c r="K41" s="52" t="s">
        <v>54</v>
      </c>
      <c r="L41" s="52" t="s">
        <v>30</v>
      </c>
      <c r="M41" s="52" t="s">
        <v>28</v>
      </c>
      <c r="N41" s="52" t="s">
        <v>49</v>
      </c>
      <c r="O41" s="52" t="s">
        <v>6</v>
      </c>
      <c r="P41" s="52" t="s">
        <v>14</v>
      </c>
      <c r="Q41" s="52" t="s">
        <v>157</v>
      </c>
      <c r="R41" s="52" t="s">
        <v>46</v>
      </c>
    </row>
    <row r="42" spans="1:18" x14ac:dyDescent="0.35">
      <c r="A42" s="119">
        <v>585</v>
      </c>
      <c r="B42" s="28">
        <f>COUNTIFS('Data - Taxa'!$B$3:$B$169, "Algal", 'Data - Taxa'!$AH$3:$AH$169, "Y")</f>
        <v>4</v>
      </c>
      <c r="C42" s="28">
        <f>COUNTIFS('Data - Taxa'!$B$3:$B$169, "Arboreomorpha", 'Data - Taxa'!$AH$3:$AH$169, "Y")</f>
        <v>0</v>
      </c>
      <c r="D42" s="28">
        <f>COUNTIFS('Data - Taxa'!$B$3:$B$169, "Bilateralomorpha", 'Data - Taxa'!$AH$3:$AH$169, "Y")</f>
        <v>0</v>
      </c>
      <c r="E42" s="28">
        <f>COUNTIFS('Data - Taxa'!$B$3:$B$169, "Cnidarian", 'Data - Taxa'!$AH$3:$AH$169, "Y")</f>
        <v>0</v>
      </c>
      <c r="F42" s="28">
        <f>COUNTIFS('Data - Taxa'!$B$3:$B$169, "Dickinsoniomorpha", 'Data - Taxa'!$AH$3:$AH$169, "Y")</f>
        <v>0</v>
      </c>
      <c r="G42" s="28">
        <f>COUNTIFS('Data - Taxa'!$B$3:$B$169, "Complex discoidal", 'Data - Taxa'!$AH$3:$AH$169, "Y")</f>
        <v>0</v>
      </c>
      <c r="H42" s="28">
        <f>COUNTIFS('Data - Taxa'!$B$3:$B$169, "Erniettomorpha", 'Data - Taxa'!$AH$3:$AH$169, "Y")</f>
        <v>0</v>
      </c>
      <c r="I42" s="28">
        <f>COUNTIFS('Data - Taxa'!$B$3:$B$169, "Kimberellamorpha", 'Data - Taxa'!$AH$3:$AH$169, "Y")</f>
        <v>0</v>
      </c>
      <c r="J42" s="28">
        <f>COUNTIFS('Data - Taxa'!$B$3:$B$169, "Pentaradialomorpha", 'Data - Taxa'!$AH$3:$AH$169, "Y")</f>
        <v>0</v>
      </c>
      <c r="K42" s="28">
        <f>COUNTIFS('Data - Taxa'!$B$3:$B$169, "Protist", 'Data - Taxa'!$AH$3:$AH$169, "Y")</f>
        <v>3</v>
      </c>
      <c r="L42" s="28">
        <f>COUNTIFS('Data - Taxa'!$B$3:$B$169, "Rangeomorpha", 'Data - Taxa'!$AH$3:$AH$169, "Y")</f>
        <v>0</v>
      </c>
      <c r="M42" s="28">
        <f>COUNTIFS('Data - Taxa'!$B$3:$B$169, "Sponges", 'Data - Taxa'!$AH$3:$AH$169, "Y")</f>
        <v>0</v>
      </c>
      <c r="N42" s="28">
        <f>COUNTIFS('Data - Taxa'!$B$3:$B$169, "Tetraradialomorpha", 'Data - Taxa'!$AH$3:$AH$169, "Y")</f>
        <v>0</v>
      </c>
      <c r="O42" s="28">
        <f>COUNTIFS('Data - Taxa'!$B$3:$B$169, "Triradialomorpha", 'Data - Taxa'!$AH$3:$AH$169, "Y")</f>
        <v>0</v>
      </c>
      <c r="P42" s="28">
        <f>COUNTIFS('Data - Taxa'!$B$3:$B$169, "Tubular", 'Data - Taxa'!$AH$3:$AH$169, "Y")</f>
        <v>0</v>
      </c>
      <c r="Q42" s="28">
        <f>COUNTIFS('Data - Taxa'!$B$3:$B$169, "Tunicate", 'Data - Taxa'!$AH$3:$AH$169, "Y")</f>
        <v>0</v>
      </c>
      <c r="R42" s="28">
        <f>COUNTIFS('Data - Taxa'!$B$3:$B$169, "Miscellaneous", 'Data - Taxa'!$AH$3:$AH$169, "Y")</f>
        <v>3</v>
      </c>
    </row>
    <row r="43" spans="1:18" x14ac:dyDescent="0.35">
      <c r="A43" s="60">
        <v>575</v>
      </c>
      <c r="B43" s="28">
        <f>COUNTIFS('Data - Taxa'!$B$3:$B$169, "Algal", 'Data - Taxa'!$AI$3:$AI$169, "Y")</f>
        <v>0</v>
      </c>
      <c r="C43" s="28">
        <f>COUNTIFS('Data - Taxa'!$B$3:$B$169, "Arboreomorpha", 'Data - Taxa'!$AI$3:$AI$169, "Y")</f>
        <v>1</v>
      </c>
      <c r="D43" s="28">
        <f>COUNTIFS('Data - Taxa'!$B$3:$B$169, "Bilateralomorpha", 'Data - Taxa'!$AI$3:$AI$169, "Y")</f>
        <v>0</v>
      </c>
      <c r="E43" s="28">
        <f>COUNTIFS('Data - Taxa'!$B$3:$B$169, "Cnidarian", 'Data - Taxa'!$AI$3:$AI$169, "Y")</f>
        <v>0</v>
      </c>
      <c r="F43" s="28">
        <f>COUNTIFS('Data - Taxa'!$B$3:$B$169, "Dickinsoniomorpha", 'Data - Taxa'!$AI$3:$AI$169, "Y")</f>
        <v>0</v>
      </c>
      <c r="G43" s="28">
        <f>COUNTIFS('Data - Taxa'!$B$3:$B$169, "Complex discoidal", 'Data - Taxa'!$AI$3:$AI$169, "Y")</f>
        <v>0</v>
      </c>
      <c r="H43" s="28">
        <f>COUNTIFS('Data - Taxa'!$B$3:$B$169, "Erniettomorpha", 'Data - Taxa'!$AI$3:$AI$169, "Y")</f>
        <v>0</v>
      </c>
      <c r="I43" s="28">
        <f>COUNTIFS('Data - Taxa'!$B$3:$B$169, "Kimberellamorpha", 'Data - Taxa'!$AI$3:$AI$169, "Y")</f>
        <v>0</v>
      </c>
      <c r="J43" s="28">
        <f>COUNTIFS('Data - Taxa'!$B$3:$B$169, "Pentaradialomorpha", 'Data - Taxa'!$AI$3:$AI$169, "Y")</f>
        <v>0</v>
      </c>
      <c r="K43" s="28">
        <f>COUNTIFS('Data - Taxa'!$B$3:$B$169, "Protist", 'Data - Taxa'!$AI$3:$AI$169, "Y")</f>
        <v>1</v>
      </c>
      <c r="L43" s="28">
        <f>COUNTIFS('Data - Taxa'!$B$3:$B$169, "Rangeomorpha", 'Data - Taxa'!$AI$3:$AI$169, "Y")</f>
        <v>7</v>
      </c>
      <c r="M43" s="28">
        <f>COUNTIFS('Data - Taxa'!$B$3:$B$169, "Sponges", 'Data - Taxa'!$AI$3:$AI$169, "Y")</f>
        <v>1</v>
      </c>
      <c r="N43" s="28">
        <f>COUNTIFS('Data - Taxa'!$B$3:$B$169, "Tetraradialomorpha", 'Data - Taxa'!$AI$3:$AI$169, "Y")</f>
        <v>0</v>
      </c>
      <c r="O43" s="28">
        <f>COUNTIFS('Data - Taxa'!$B$3:$B$169, "Triradialomorpha", 'Data - Taxa'!$AI$3:$AI$169, "Y")</f>
        <v>0</v>
      </c>
      <c r="P43" s="28">
        <f>COUNTIFS('Data - Taxa'!$B$3:$B$169, "Tubular", 'Data - Taxa'!$AI$3:$AI$169, "Y")</f>
        <v>3</v>
      </c>
      <c r="Q43" s="28">
        <f>COUNTIFS('Data - Taxa'!$B$3:$B$169, "Tunicate", 'Data - Taxa'!$AI$3:$AI$169, "Y")</f>
        <v>0</v>
      </c>
      <c r="R43" s="28">
        <f>COUNTIFS('Data - Taxa'!$B$3:$B$169, "Miscellaneous", 'Data - Taxa'!$AI$3:$AI$169, "Y")</f>
        <v>1</v>
      </c>
    </row>
    <row r="44" spans="1:18" x14ac:dyDescent="0.35">
      <c r="A44" s="60">
        <v>565</v>
      </c>
      <c r="B44" s="28">
        <f>COUNTIFS('Data - Taxa'!$B$3:$B$169, "Algal", 'Data - Taxa'!$AJ$3:$AJ$169, "Y")</f>
        <v>0</v>
      </c>
      <c r="C44" s="28">
        <f>COUNTIFS('Data - Taxa'!$B$3:$B$169, "Arboreomorpha", 'Data - Taxa'!$AJ$3:$AJ$169, "Y")</f>
        <v>2</v>
      </c>
      <c r="D44" s="28">
        <f>COUNTIFS('Data - Taxa'!$B$3:$B$169, "Bilateralomorpha", 'Data - Taxa'!$AJ$3:$AJ$169, "Y")</f>
        <v>0</v>
      </c>
      <c r="E44" s="28">
        <f>COUNTIFS('Data - Taxa'!$B$3:$B$169, "Cnidarian", 'Data - Taxa'!$AJ$3:$AJ$169, "Y")</f>
        <v>1</v>
      </c>
      <c r="F44" s="28">
        <f>COUNTIFS('Data - Taxa'!$B$3:$B$169, "Dickinsoniomorpha", 'Data - Taxa'!$AJ$3:$AJ$169, "Y")</f>
        <v>0</v>
      </c>
      <c r="G44" s="28">
        <f>COUNTIFS('Data - Taxa'!$B$3:$B$169, "Complex discoidal", 'Data - Taxa'!$AJ$3:$AJ$169, "Y")</f>
        <v>0</v>
      </c>
      <c r="H44" s="28">
        <f>COUNTIFS('Data - Taxa'!$B$3:$B$169, "Erniettomorpha", 'Data - Taxa'!$AJ$3:$AJ$169, "Y")</f>
        <v>0</v>
      </c>
      <c r="I44" s="28">
        <f>COUNTIFS('Data - Taxa'!$B$3:$B$169, "Kimberellamorpha", 'Data - Taxa'!$AJ$3:$AJ$169, "Y")</f>
        <v>0</v>
      </c>
      <c r="J44" s="28">
        <f>COUNTIFS('Data - Taxa'!$B$3:$B$169, "Pentaradialomorpha", 'Data - Taxa'!$AJ$3:$AJ$169, "Y")</f>
        <v>0</v>
      </c>
      <c r="K44" s="28">
        <f>COUNTIFS('Data - Taxa'!$B$3:$B$169, "Protist", 'Data - Taxa'!$AJ$3:$AJ$169, "Y")</f>
        <v>2</v>
      </c>
      <c r="L44" s="28">
        <f>COUNTIFS('Data - Taxa'!$B$3:$B$169, "Rangeomorpha", 'Data - Taxa'!$AJ$3:$AJ$169, "Y")</f>
        <v>15</v>
      </c>
      <c r="M44" s="28">
        <f>COUNTIFS('Data - Taxa'!$B$3:$B$169, "Sponges", 'Data - Taxa'!$AJ$3:$AJ$169, "Y")</f>
        <v>1</v>
      </c>
      <c r="N44" s="28">
        <f>COUNTIFS('Data - Taxa'!$B$3:$B$169, "Tetraradialomorpha", 'Data - Taxa'!$AJ$3:$AJ$169, "Y")</f>
        <v>0</v>
      </c>
      <c r="O44" s="28">
        <f>COUNTIFS('Data - Taxa'!$B$3:$B$169, "Triradialomorpha", 'Data - Taxa'!$AJ$3:$AJ$169, "Y")</f>
        <v>1</v>
      </c>
      <c r="P44" s="28">
        <f>COUNTIFS('Data - Taxa'!$B$3:$B$169, "Tubular", 'Data - Taxa'!$AJ$3:$AJ$169, "Y")</f>
        <v>0</v>
      </c>
      <c r="Q44" s="28">
        <f>COUNTIFS('Data - Taxa'!$B$3:$B$169, "Tunicate", 'Data - Taxa'!$AJ$3:$AJ$169, "Y")</f>
        <v>0</v>
      </c>
      <c r="R44" s="28">
        <f>COUNTIFS('Data - Taxa'!$B$3:$B$169, "Miscellaneous", 'Data - Taxa'!$AJ$3:$AJ$169, "Y")+1</f>
        <v>3</v>
      </c>
    </row>
    <row r="45" spans="1:18" x14ac:dyDescent="0.35">
      <c r="A45" s="60">
        <v>555</v>
      </c>
      <c r="B45" s="28">
        <f>COUNTIFS('Data - Taxa'!$B$3:$B$169, "Algal", 'Data - Taxa'!$AK$3:$AK$169, "Y")</f>
        <v>16</v>
      </c>
      <c r="C45" s="28">
        <f>COUNTIFS('Data - Taxa'!$B$3:$B$169, "Arboreomorpha", 'Data - Taxa'!$AK$3:$AK$169, "Y")+1</f>
        <v>6</v>
      </c>
      <c r="D45" s="28">
        <f>COUNTIFS('Data - Taxa'!$B$3:$B$169, "Bilateralomorpha", 'Data - Taxa'!$AK$3:$AK$169, "Y")</f>
        <v>15</v>
      </c>
      <c r="E45" s="28">
        <f>COUNTIFS('Data - Taxa'!$B$3:$B$169, "Cnidarian", 'Data - Taxa'!$AK$3:$AK$169, "Y")</f>
        <v>3</v>
      </c>
      <c r="F45" s="28">
        <f>COUNTIFS('Data - Taxa'!$B$3:$B$169, "Dickinsoniomorpha", 'Data - Taxa'!$AK$3:$AK$169, "Y")</f>
        <v>7</v>
      </c>
      <c r="G45" s="28">
        <f>COUNTIFS('Data - Taxa'!$B$3:$B$169, "Complex discoidal", 'Data - Taxa'!$AK$3:$AK$169, "Y")</f>
        <v>3</v>
      </c>
      <c r="H45" s="28">
        <f>COUNTIFS('Data - Taxa'!$B$3:$B$169, "Erniettomorpha", 'Data - Taxa'!$AK$3:$AK$169, "Y")</f>
        <v>4</v>
      </c>
      <c r="I45" s="28">
        <f>COUNTIFS('Data - Taxa'!$B$3:$B$169, "Kimberellamorpha", 'Data - Taxa'!$AK$3:$AK$169, "Y")</f>
        <v>2</v>
      </c>
      <c r="J45" s="28">
        <f>COUNTIFS('Data - Taxa'!$B$3:$B$169, "Pentaradialomorpha", 'Data - Taxa'!$AK$3:$AK$169, "Y")</f>
        <v>1</v>
      </c>
      <c r="K45" s="28">
        <f>COUNTIFS('Data - Taxa'!$B$3:$B$169, "Protist", 'Data - Taxa'!$AK$3:$AK$169, "Y")</f>
        <v>3</v>
      </c>
      <c r="L45" s="28">
        <f>COUNTIFS('Data - Taxa'!$B$3:$B$169, "Rangeomorpha", 'Data - Taxa'!$AK$3:$AK$169, "Y")</f>
        <v>8</v>
      </c>
      <c r="M45" s="28">
        <f>COUNTIFS('Data - Taxa'!$B$3:$B$169, "Sponges", 'Data - Taxa'!$AK$3:$AK$169, "Y")</f>
        <v>4</v>
      </c>
      <c r="N45" s="28">
        <f>COUNTIFS('Data - Taxa'!$B$3:$B$169, "Tetraradialomorpha", 'Data - Taxa'!$AK$3:$AK$169, "Y")</f>
        <v>1</v>
      </c>
      <c r="O45" s="28">
        <f>COUNTIFS('Data - Taxa'!$B$3:$B$169, "Triradialomorpha", 'Data - Taxa'!$AK$3:$AK$169, "Y")</f>
        <v>5</v>
      </c>
      <c r="P45" s="28">
        <f>COUNTIFS('Data - Taxa'!$B$3:$B$169, "Tubular", 'Data - Taxa'!$AK$3:$AK$169, "Y")</f>
        <v>10</v>
      </c>
      <c r="Q45" s="28">
        <f>COUNTIFS('Data - Taxa'!$B$3:$B$169, "Tunicate", 'Data - Taxa'!$AK$3:$AK$169, "Y")</f>
        <v>0</v>
      </c>
      <c r="R45" s="28">
        <f>COUNTIFS('Data - Taxa'!$B$3:$B$169, "Miscellaneous", 'Data - Taxa'!$AK$3:$AK$169, "Y")+1</f>
        <v>22</v>
      </c>
    </row>
    <row r="46" spans="1:18" x14ac:dyDescent="0.35">
      <c r="A46" s="60">
        <v>545</v>
      </c>
      <c r="B46" s="28">
        <f>COUNTIFS('Data - Taxa'!$B$3:$B$169, "Algal", 'Data - Taxa'!$AL$3:$AL$169, "Y")</f>
        <v>7</v>
      </c>
      <c r="C46" s="28">
        <f>COUNTIFS('Data - Taxa'!$B$3:$B$169, "Arboreomorpha", 'Data - Taxa'!$AL$3:$AL$169, "Y")+1</f>
        <v>3</v>
      </c>
      <c r="D46" s="28">
        <f>COUNTIFS('Data - Taxa'!$B$3:$B$169, "Bilateralomorpha", 'Data - Taxa'!$AL$3:$AL$169, "Y")</f>
        <v>2</v>
      </c>
      <c r="E46" s="28">
        <f>COUNTIFS('Data - Taxa'!$B$3:$B$169, "Cnidarian", 'Data - Taxa'!$AL$3:$AL$169, "Y")</f>
        <v>2</v>
      </c>
      <c r="F46" s="28">
        <f>COUNTIFS('Data - Taxa'!$B$3:$B$169, "Dickinsoniomorpha", 'Data - Taxa'!$AL$3:$AL$169, "Y")</f>
        <v>1</v>
      </c>
      <c r="G46" s="28">
        <f>COUNTIFS('Data - Taxa'!$B$3:$B$169, "Complex discoidal", 'Data - Taxa'!$AL$3:$AL$169, "Y")</f>
        <v>3</v>
      </c>
      <c r="H46" s="28">
        <f>COUNTIFS('Data - Taxa'!$B$3:$B$169, "Erniettomorpha", 'Data - Taxa'!$AL$3:$AL$169, "Y")</f>
        <v>4</v>
      </c>
      <c r="I46" s="28">
        <f>COUNTIFS('Data - Taxa'!$B$3:$B$169, "Kimberellamorpha", 'Data - Taxa'!$AL$3:$AL$169, "Y")</f>
        <v>1</v>
      </c>
      <c r="J46" s="28">
        <f>COUNTIFS('Data - Taxa'!$B$3:$B$169, "Pentaradialomorpha", 'Data - Taxa'!$AL$3:$AL$169, "Y")</f>
        <v>0</v>
      </c>
      <c r="K46" s="28">
        <f>COUNTIFS('Data - Taxa'!$B$3:$B$169, "Protist", 'Data - Taxa'!$AL$3:$AL$169, "Y")</f>
        <v>4</v>
      </c>
      <c r="L46" s="28">
        <f>COUNTIFS('Data - Taxa'!$B$3:$B$169, "Rangeomorpha", 'Data - Taxa'!$AL$3:$AL$169, "Y")</f>
        <v>3</v>
      </c>
      <c r="M46" s="28">
        <f>COUNTIFS('Data - Taxa'!$B$3:$B$169, "Sponges", 'Data - Taxa'!$AL$3:$AL$169, "Y")</f>
        <v>0</v>
      </c>
      <c r="N46" s="28">
        <f>COUNTIFS('Data - Taxa'!$B$3:$B$169, "Tetraradialomorpha", 'Data - Taxa'!$AL$3:$AL$169, "Y")</f>
        <v>1</v>
      </c>
      <c r="O46" s="28">
        <f>COUNTIFS('Data - Taxa'!$B$3:$B$169, "Triradialomorpha", 'Data - Taxa'!$AL$3:$AL$169, "Y")</f>
        <v>2</v>
      </c>
      <c r="P46" s="28">
        <f>COUNTIFS('Data - Taxa'!$B$3:$B$169, "Tubular", 'Data - Taxa'!$AL$3:$AL$169, "Y")</f>
        <v>18</v>
      </c>
      <c r="Q46" s="28">
        <f>COUNTIFS('Data - Taxa'!$B$3:$B$169, "Tunicate", 'Data - Taxa'!$AL$3:$AL$169, "Y")</f>
        <v>0</v>
      </c>
      <c r="R46" s="28">
        <f>COUNTIFS('Data - Taxa'!$B$3:$B$169, "Miscellaneous", 'Data - Taxa'!$AL$3:$AL$169, "Y")+1</f>
        <v>9</v>
      </c>
    </row>
    <row r="47" spans="1:18" x14ac:dyDescent="0.35">
      <c r="A47"/>
      <c r="B47"/>
      <c r="C47"/>
      <c r="D47"/>
      <c r="E47"/>
      <c r="F47"/>
      <c r="G47"/>
      <c r="H47"/>
      <c r="I47"/>
      <c r="J47"/>
      <c r="K47"/>
      <c r="L47"/>
    </row>
    <row r="48" spans="1:18" x14ac:dyDescent="0.35">
      <c r="A48" t="s">
        <v>493</v>
      </c>
      <c r="B48"/>
      <c r="C48"/>
      <c r="D48"/>
      <c r="E48"/>
      <c r="F48"/>
      <c r="G48"/>
      <c r="H48"/>
      <c r="I48"/>
      <c r="J48"/>
      <c r="K48"/>
      <c r="L48"/>
    </row>
    <row r="49" spans="1:20" x14ac:dyDescent="0.35">
      <c r="A49" s="51" t="s">
        <v>164</v>
      </c>
      <c r="B49" s="52" t="s">
        <v>12</v>
      </c>
      <c r="C49" s="52" t="s">
        <v>173</v>
      </c>
      <c r="D49" s="52" t="s">
        <v>218</v>
      </c>
      <c r="E49" s="52" t="s">
        <v>232</v>
      </c>
      <c r="F49" s="52" t="s">
        <v>54</v>
      </c>
      <c r="G49" s="52" t="s">
        <v>217</v>
      </c>
      <c r="H49" s="52" t="s">
        <v>14</v>
      </c>
      <c r="I49" s="52" t="s">
        <v>46</v>
      </c>
      <c r="J49"/>
    </row>
    <row r="50" spans="1:20" x14ac:dyDescent="0.35">
      <c r="A50" s="119">
        <v>585</v>
      </c>
      <c r="B50" s="28">
        <f>COUNTIFS('Data - Taxa'!AS3:AS169, "Y",'Data - Taxa'!$AH3:$AH169,"Y",'Data - Taxa'!BK3:BK169,"Y")</f>
        <v>4</v>
      </c>
      <c r="C50" s="28">
        <f>COUNTIFS('Data - Taxa'!AT3:AT169, "Y",'Data - Taxa'!$AH3:$AH169,"Y",'Data - Taxa'!BK3:BK169,"Y")</f>
        <v>0</v>
      </c>
      <c r="D50" s="28">
        <f>COUNTIFS('Data - Taxa'!AW3:AW169, "Y",'Data - Taxa'!$AH3:$AH169,"Y",'Data - Taxa'!BK3:BK169,"Y")</f>
        <v>0</v>
      </c>
      <c r="E50" s="28">
        <f>COUNTIFS('Data - Taxa'!AV3:AV169, "Y",'Data - Taxa'!$AH3:$AH169,"Y",'Data - Taxa'!BK3:BK169,"Y")</f>
        <v>0</v>
      </c>
      <c r="F50" s="28">
        <f>COUNTIFS('Data - Taxa'!AX3:AX169, "Y",'Data - Taxa'!$AH3:$AH169,"Y",'Data - Taxa'!BK3:BK169,"Y")</f>
        <v>3</v>
      </c>
      <c r="G50" s="28">
        <f>COUNTIFS('Data - Taxa'!AU3:AU169, "Y",'Data - Taxa'!$AH3:$AH169,"Y",'Data - Taxa'!BK3:BK169,"Y")</f>
        <v>0</v>
      </c>
      <c r="H50" s="28">
        <f>COUNTIFS('Data - Taxa'!AY3:AY169, "Y",'Data - Taxa'!$AH3:$AH169,"Y",'Data - Taxa'!BK3:BK169,"Y")</f>
        <v>0</v>
      </c>
      <c r="I50" s="28">
        <f>COUNTIFS('Data - Taxa'!AZ3:AZ169, "Y",'Data - Taxa'!$AH3:$AH169,"Y",'Data - Taxa'!BK3:BK169,"Y")</f>
        <v>3</v>
      </c>
    </row>
    <row r="51" spans="1:20" x14ac:dyDescent="0.35">
      <c r="A51" s="60">
        <v>575</v>
      </c>
      <c r="B51" s="28">
        <f>COUNTIFS('Data - Taxa'!AS3:AS169, "Y",'Data - Taxa'!$AI3:$AI169,"Y",'Data - Taxa'!BK3:BK169,"Y")</f>
        <v>0</v>
      </c>
      <c r="C51" s="28">
        <f>COUNTIFS('Data - Taxa'!AT3:AT169, "Y",'Data - Taxa'!$AI3:$AI169,"Y",'Data - Taxa'!BK3:BK169,"Y")</f>
        <v>0</v>
      </c>
      <c r="D51" s="28">
        <f>COUNTIFS('Data - Taxa'!AW3:AW169, "Y",'Data - Taxa'!$AI3:$AI169,"Y",'Data - Taxa'!BK3:BK169,"Y")</f>
        <v>0</v>
      </c>
      <c r="E51" s="28">
        <f>COUNTIFS('Data - Taxa'!AV3:AV169, "Y",'Data - Taxa'!$AI3:$AI169,"Y",'Data - Taxa'!BK3:BK169,"Y")</f>
        <v>6</v>
      </c>
      <c r="F51" s="28">
        <f>COUNTIFS('Data - Taxa'!AX3:AX169, "Y",'Data - Taxa'!$AI3:$AI169,"Y",'Data - Taxa'!BK3:BK169,"Y")</f>
        <v>1</v>
      </c>
      <c r="G51" s="28">
        <f>COUNTIFS('Data - Taxa'!AU3:AU169, "Y",'Data - Taxa'!$AI3:$AI169,"Y",'Data - Taxa'!BK3:BK169,"Y")</f>
        <v>0</v>
      </c>
      <c r="H51" s="28">
        <f>COUNTIFS('Data - Taxa'!AY3:AY169, "Y",'Data - Taxa'!$AI3:$AI169,"Y",'Data - Taxa'!BK3:BK169,"Y")</f>
        <v>3</v>
      </c>
      <c r="I51" s="28">
        <f>COUNTIFS('Data - Taxa'!AZ3:AZ169, "Y",'Data - Taxa'!$AI3:$AI169,"Y",'Data - Taxa'!BK3:BK169,"Y")</f>
        <v>1</v>
      </c>
    </row>
    <row r="52" spans="1:20" x14ac:dyDescent="0.35">
      <c r="A52" s="60">
        <v>565</v>
      </c>
      <c r="B52" s="28">
        <f>COUNTIFS('Data - Taxa'!AS3:AS169, "Y",'Data - Taxa'!$AJ3:$AJ169,"Y",'Data - Taxa'!BK3:BK169,"Y")</f>
        <v>0</v>
      </c>
      <c r="C52" s="28">
        <f>COUNTIFS('Data - Taxa'!AT3:AT169, "Y",'Data - Taxa'!$AJ3:$AJ169,"Y",'Data - Taxa'!BK3:BK169,"Y")</f>
        <v>0</v>
      </c>
      <c r="D52" s="28">
        <f>COUNTIFS('Data - Taxa'!AW3:AW169, "Y",'Data - Taxa'!$AJ3:$AJ169,"Y",'Data - Taxa'!BK3:BK169,"Y")</f>
        <v>0</v>
      </c>
      <c r="E52" s="28">
        <f>COUNTIFS('Data - Taxa'!AV3:AV169, "Y",'Data - Taxa'!$AJ3:$AJ169,"Y",'Data - Taxa'!BK3:BK169,"Y")</f>
        <v>7</v>
      </c>
      <c r="F52" s="28">
        <f>COUNTIFS('Data - Taxa'!AX3:AX169, "Y",'Data - Taxa'!$AJ3:$AJ169,"Y",'Data - Taxa'!BK3:BK169,"Y")</f>
        <v>2</v>
      </c>
      <c r="G52" s="28">
        <f>COUNTIFS('Data - Taxa'!AU3:AU169, "Y",'Data - Taxa'!$AJ3:$AJ169,"Y",'Data - Taxa'!BK3:BK169,"Y")</f>
        <v>0</v>
      </c>
      <c r="H52" s="28">
        <f>COUNTIFS('Data - Taxa'!AY3:AY169, "Y",'Data - Taxa'!$AJ3:$AJ169,"Y",'Data - Taxa'!BK3:BK169,"Y")</f>
        <v>0</v>
      </c>
      <c r="I52" s="28">
        <f>COUNTIFS('Data - Taxa'!AZ3:AZ169, "Y",'Data - Taxa'!$AJ3:$AJ169,"Y",'Data - Taxa'!BK3:BK169,"Y")</f>
        <v>0</v>
      </c>
    </row>
    <row r="53" spans="1:20" x14ac:dyDescent="0.35">
      <c r="A53" s="60">
        <v>555</v>
      </c>
      <c r="B53" s="28">
        <f>COUNTIFS('Data - Taxa'!AS3:AS169, "Y",'Data - Taxa'!$AK3:$AK169,"Y",'Data - Taxa'!BK3:BK169,"Y")</f>
        <v>16</v>
      </c>
      <c r="C53" s="28">
        <f>COUNTIFS('Data - Taxa'!AT3:AT169, "Y",'Data - Taxa'!$AK3:$AK169,"Y",'Data - Taxa'!BK3:BK169,"Y")</f>
        <v>24</v>
      </c>
      <c r="D53" s="28">
        <f>COUNTIFS('Data - Taxa'!AW3:AW169, "Y",'Data - Taxa'!$AK3:$AK169,"Y",'Data - Taxa'!BK3:BK169,"Y")</f>
        <v>4</v>
      </c>
      <c r="E53" s="28">
        <f>COUNTIFS('Data - Taxa'!AV3:AV169, "Y",'Data - Taxa'!$AK3:$AK169,"Y",'Data - Taxa'!BK3:BK169,"Y")</f>
        <v>13</v>
      </c>
      <c r="F53" s="28">
        <f>COUNTIFS('Data - Taxa'!AX3:AX169, "Y",'Data - Taxa'!$AK3:$AK169,"Y",'Data - Taxa'!BK3:BK169,"Y")</f>
        <v>3</v>
      </c>
      <c r="G53" s="28">
        <f>COUNTIFS('Data - Taxa'!AU3:AU169, "Y",'Data - Taxa'!$AK3:$AK169,"Y",'Data - Taxa'!BK3:BK169,"Y")</f>
        <v>11</v>
      </c>
      <c r="H53" s="28">
        <f>COUNTIFS('Data - Taxa'!AY3:AY169, "Y",'Data - Taxa'!$AK3:$AK169,"Y",'Data - Taxa'!BK3:BK169,"Y")</f>
        <v>10</v>
      </c>
      <c r="I53" s="28">
        <f>COUNTIFS('Data - Taxa'!AZ3:AZ169, "Y",'Data - Taxa'!$AK3:$AK169,"Y",'Data - Taxa'!BK3:BK169,"Y")</f>
        <v>27</v>
      </c>
    </row>
    <row r="54" spans="1:20" x14ac:dyDescent="0.35">
      <c r="A54" s="60">
        <v>545</v>
      </c>
      <c r="B54" s="28">
        <f>COUNTIFS('Data - Taxa'!AS3:AS169, "Y",'Data - Taxa'!$AL3:$AL169,"Y",'Data - Taxa'!BK3:BK169,"Y")</f>
        <v>7</v>
      </c>
      <c r="C54" s="28">
        <f>COUNTIFS('Data - Taxa'!AT3:AT169, "Y",'Data - Taxa'!$AL3:$AL169,"Y",'Data - Taxa'!BK3:BK169,"Y")</f>
        <v>4</v>
      </c>
      <c r="D54" s="28">
        <f>COUNTIFS('Data - Taxa'!AW3:AW169, "Y",'Data - Taxa'!$AL3:$AL169,"Y",'Data - Taxa'!BK3:BK169,"Y")</f>
        <v>1</v>
      </c>
      <c r="E54" s="28">
        <f>COUNTIFS('Data - Taxa'!AV3:AV169, "Y",'Data - Taxa'!$AL3:$AL169,"Y",'Data - Taxa'!BK3:BK169,"Y")</f>
        <v>6</v>
      </c>
      <c r="F54" s="28">
        <f>COUNTIFS('Data - Taxa'!AX3:AX169, "Y",'Data - Taxa'!$AL3:$AL169,"Y",'Data - Taxa'!BK3:BK169,"Y")</f>
        <v>4</v>
      </c>
      <c r="G54" s="28">
        <f>COUNTIFS('Data - Taxa'!AU3:AU169, "Y",'Data - Taxa'!$AL3:$AL169,"Y",'Data - Taxa'!BK3:BK169,"Y")</f>
        <v>6</v>
      </c>
      <c r="H54" s="28">
        <f>COUNTIFS('Data - Taxa'!AY3:AY169, "Y",'Data - Taxa'!$AL3:$AL169,"Y",'Data - Taxa'!BK3:BK169,"Y")</f>
        <v>18</v>
      </c>
      <c r="I54" s="28">
        <f>COUNTIFS('Data - Taxa'!AZ3:AZ169, "Y",'Data - Taxa'!$AL3:$AL169,"Y",'Data - Taxa'!BK3:BK169,"Y")</f>
        <v>8</v>
      </c>
    </row>
    <row r="55" spans="1:20" x14ac:dyDescent="0.35">
      <c r="A55" t="s">
        <v>492</v>
      </c>
      <c r="B55"/>
      <c r="C55"/>
      <c r="D55"/>
      <c r="E55"/>
      <c r="F55"/>
      <c r="G55"/>
      <c r="H55"/>
      <c r="I55"/>
      <c r="J55"/>
      <c r="K55"/>
      <c r="L55"/>
      <c r="M55"/>
    </row>
    <row r="56" spans="1:20" x14ac:dyDescent="0.35">
      <c r="A56" s="51" t="s">
        <v>164</v>
      </c>
      <c r="B56" s="52" t="s">
        <v>12</v>
      </c>
      <c r="C56" s="52" t="s">
        <v>173</v>
      </c>
      <c r="D56" s="52" t="s">
        <v>218</v>
      </c>
      <c r="E56" s="52" t="s">
        <v>232</v>
      </c>
      <c r="F56" s="52" t="s">
        <v>54</v>
      </c>
      <c r="G56" s="52" t="s">
        <v>217</v>
      </c>
      <c r="H56" s="52" t="s">
        <v>14</v>
      </c>
      <c r="I56" s="52" t="s">
        <v>46</v>
      </c>
      <c r="J56"/>
      <c r="K56"/>
      <c r="L56"/>
      <c r="M56"/>
    </row>
    <row r="57" spans="1:20" x14ac:dyDescent="0.35">
      <c r="A57" s="119">
        <v>585</v>
      </c>
      <c r="B57" s="28">
        <f>COUNTIFS('Data - Taxa'!AS3:AS169, "Y",'Data - Taxa'!$AH3:$AH169,"Y",'Data - Taxa'!BJ3:BJ169,"Y")</f>
        <v>0</v>
      </c>
      <c r="C57" s="28">
        <f>COUNTIFS('Data - Taxa'!AT3:AT169, "Y",'Data - Taxa'!$AH3:$AH169,"Y",'Data - Taxa'!BJ3:BJ169,"Y")</f>
        <v>0</v>
      </c>
      <c r="D57" s="28">
        <f>COUNTIFS('Data - Taxa'!AW3:AW169, "Y",'Data - Taxa'!$AH3:$AH169,"Y",'Data - Taxa'!BJ3:BJ169,"Y")</f>
        <v>0</v>
      </c>
      <c r="E57" s="28">
        <f>COUNTIFS('Data - Taxa'!AV3:AV169, "Y",'Data - Taxa'!$AH3:$AH169,"Y",'Data - Taxa'!BJ3:BJ169,"Y")</f>
        <v>0</v>
      </c>
      <c r="F57" s="28">
        <f>COUNTIFS('Data - Taxa'!AX3:AX169, "Y",'Data - Taxa'!$AH3:$AH169,"Y",'Data - Taxa'!BJ3:BJ169,"Y")</f>
        <v>2</v>
      </c>
      <c r="G57" s="28">
        <f>COUNTIFS('Data - Taxa'!AU3:AU169, "Y",'Data - Taxa'!$AH3:$AH169,"Y",'Data - Taxa'!BJ3:BJ169,"Y")</f>
        <v>0</v>
      </c>
      <c r="H57" s="28">
        <f>COUNTIFS('Data - Taxa'!AY3:AY169, "Y",'Data - Taxa'!$AH3:$AH169,"Y",'Data - Taxa'!BJ3:BJ169,"Y")</f>
        <v>0</v>
      </c>
      <c r="I57" s="28">
        <f>COUNTIFS('Data - Taxa'!AZ3:AZ169, "Y",'Data - Taxa'!$AH3:$AH169,"Y",'Data - Taxa'!BJ3:BJ169,"Y")</f>
        <v>0</v>
      </c>
    </row>
    <row r="58" spans="1:20" x14ac:dyDescent="0.35">
      <c r="A58" s="60">
        <v>575</v>
      </c>
      <c r="B58" s="28">
        <f>COUNTIFS('Data - Taxa'!AS3:AS169, "Y",'Data - Taxa'!$AI3:$AI169,"Y",'Data - Taxa'!BJ3:BJ169,"Y")</f>
        <v>0</v>
      </c>
      <c r="C58" s="28">
        <f>COUNTIFS('Data - Taxa'!AT3:AT169, "Y",'Data - Taxa'!$AI3:$AI169,"Y",'Data - Taxa'!BJ3:BJ169,"Y")</f>
        <v>0</v>
      </c>
      <c r="D58" s="28">
        <f>COUNTIFS('Data - Taxa'!AW3:AW169, "Y",'Data - Taxa'!$AI3:$AI169,"Y",'Data - Taxa'!BJ3:BJ169,"Y")</f>
        <v>0</v>
      </c>
      <c r="E58" s="28">
        <f>COUNTIFS('Data - Taxa'!AV3:AV169, "Y",'Data - Taxa'!$AI3:$AI169,"Y",'Data - Taxa'!BJ3:BJ169,"Y")</f>
        <v>8</v>
      </c>
      <c r="F58" s="28">
        <f>COUNTIFS('Data - Taxa'!AX3:AX169, "Y",'Data - Taxa'!$AI3:$AI169,"Y",'Data - Taxa'!BJ3:BJ169,"Y")</f>
        <v>1</v>
      </c>
      <c r="G58" s="28">
        <f>COUNTIFS('Data - Taxa'!AU3:AU169, "Y",'Data - Taxa'!$AI3:$AI169,"Y",'Data - Taxa'!BJ3:BJ169,"Y")</f>
        <v>0</v>
      </c>
      <c r="H58" s="28">
        <f>COUNTIFS('Data - Taxa'!AY3:AY169, "Y",'Data - Taxa'!$AI3:$AI169,"Y",'Data - Taxa'!BJ3:BJ169,"Y")</f>
        <v>0</v>
      </c>
      <c r="I58" s="28">
        <f>COUNTIFS('Data - Taxa'!AZ3:AZ169, "Y",'Data - Taxa'!$AI3:$AI169,"Y",'Data - Taxa'!BJ3:BJ169,"Y")</f>
        <v>2</v>
      </c>
    </row>
    <row r="59" spans="1:20" x14ac:dyDescent="0.35">
      <c r="A59" s="60">
        <v>565</v>
      </c>
      <c r="B59" s="28">
        <f>COUNTIFS('Data - Taxa'!AS3:AS169, "Y",'Data - Taxa'!$AJ3:$AJ169,"Y",'Data - Taxa'!BJ3:BJ169,"Y")</f>
        <v>0</v>
      </c>
      <c r="C59" s="28">
        <f>COUNTIFS('Data - Taxa'!AT3:AT169, "Y",'Data - Taxa'!$AJ3:$AJ169,"Y",'Data - Taxa'!BJ3:BJ169,"Y")</f>
        <v>0</v>
      </c>
      <c r="D59" s="28">
        <f>COUNTIFS('Data - Taxa'!AW3:AW169, "Y",'Data - Taxa'!$AJ3:$AJ169,"Y",'Data - Taxa'!BJ3:BJ169,"Y")</f>
        <v>0</v>
      </c>
      <c r="E59" s="28">
        <f>COUNTIFS('Data - Taxa'!AV3:AV169, "Y",'Data - Taxa'!$AJ3:$AJ169,"Y",'Data - Taxa'!BJ3:BJ169,"Y")</f>
        <v>18</v>
      </c>
      <c r="F59" s="28">
        <f>COUNTIFS('Data - Taxa'!AX3:AX169, "Y",'Data - Taxa'!$AJ3:$AJ169,"Y",'Data - Taxa'!BJ3:BJ169,"Y")</f>
        <v>2</v>
      </c>
      <c r="G59" s="28">
        <f>COUNTIFS('Data - Taxa'!AU3:AU169, "Y",'Data - Taxa'!$AJ3:$AJ169,"Y",'Data - Taxa'!BJ3:BJ169,"Y")</f>
        <v>1</v>
      </c>
      <c r="H59" s="28">
        <f>COUNTIFS('Data - Taxa'!AY3:AY169, "Y",'Data - Taxa'!$AJ3:$AJ169,"Y",'Data - Taxa'!BJ3:BJ169,"Y")</f>
        <v>0</v>
      </c>
      <c r="I59" s="28">
        <f>COUNTIFS('Data - Taxa'!AZ3:AZ169, "Y",'Data - Taxa'!$AJ3:$AJ169,"Y",'Data - Taxa'!BJ3:BJ169,"Y")</f>
        <v>4</v>
      </c>
    </row>
    <row r="60" spans="1:20" x14ac:dyDescent="0.35">
      <c r="A60" s="60">
        <v>555</v>
      </c>
      <c r="B60" s="28">
        <f>COUNTIFS('Data - Taxa'!AS3:AS169, "Y",'Data - Taxa'!$AK3:$AK169,"Y",'Data - Taxa'!BJ3:BJ169,"Y")</f>
        <v>2</v>
      </c>
      <c r="C60" s="28">
        <f>COUNTIFS('Data - Taxa'!AT3:AT169, "Y",'Data - Taxa'!$AK3:$AK169,"Y",'Data - Taxa'!BJ3:BJ169,"Y")</f>
        <v>0</v>
      </c>
      <c r="D60" s="28">
        <f>COUNTIFS('Data - Taxa'!AW3:AW169, "Y",'Data - Taxa'!$AK3:$AK169,"Y",'Data - Taxa'!BJ3:BJ169,"Y")</f>
        <v>1</v>
      </c>
      <c r="E60" s="28">
        <f>COUNTIFS('Data - Taxa'!AV3:AV169, "Y",'Data - Taxa'!$AK3:$AK169,"Y",'Data - Taxa'!BJ3:BJ169,"Y")</f>
        <v>8</v>
      </c>
      <c r="F60" s="28">
        <f>COUNTIFS('Data - Taxa'!AX3:AX169, "Y",'Data - Taxa'!$AK3:$AK169,"Y",'Data - Taxa'!BJ3:BJ169,"Y")</f>
        <v>3</v>
      </c>
      <c r="G60" s="28">
        <f>COUNTIFS('Data - Taxa'!AU3:AU169, "Y",'Data - Taxa'!$AK3:$AK169,"Y",'Data - Taxa'!BJ3:BJ169,"Y")</f>
        <v>0</v>
      </c>
      <c r="H60" s="28">
        <f>COUNTIFS('Data - Taxa'!AY3:AY169, "Y",'Data - Taxa'!$AK3:$AK169,"Y",'Data - Taxa'!BJ3:BJ169,"Y")</f>
        <v>2</v>
      </c>
      <c r="I60" s="28">
        <f>COUNTIFS('Data - Taxa'!AZ3:AZ169, "Y",'Data - Taxa'!$AK3:$AK169,"Y",'Data - Taxa'!BJ3:BJ169,"Y")</f>
        <v>4</v>
      </c>
    </row>
    <row r="61" spans="1:20" x14ac:dyDescent="0.35">
      <c r="A61" s="60">
        <v>545</v>
      </c>
      <c r="B61" s="28">
        <f>COUNTIFS('Data - Taxa'!AS3:AS169, "Y",'Data - Taxa'!$AL3:$AL169,"Y",'Data - Taxa'!BJ3:BJ169,"Y")</f>
        <v>2</v>
      </c>
      <c r="C61" s="28">
        <f>COUNTIFS('Data - Taxa'!AT3:AT169, "Y",'Data - Taxa'!$AL3:$AL169,"Y",'Data - Taxa'!BJ3:BJ169,"Y")</f>
        <v>1</v>
      </c>
      <c r="D61" s="28">
        <f>COUNTIFS('Data - Taxa'!AW3:AW169, "Y",'Data - Taxa'!$AL3:$AL169,"Y",'Data - Taxa'!BJ3:BJ169,"Y")</f>
        <v>4</v>
      </c>
      <c r="E61" s="28">
        <f>COUNTIFS('Data - Taxa'!AV3:AV169, "Y",'Data - Taxa'!$AL3:$AL169,"Y",'Data - Taxa'!BJ3:BJ169,"Y")</f>
        <v>3</v>
      </c>
      <c r="F61" s="28">
        <f>COUNTIFS('Data - Taxa'!AX3:AX169, "Y",'Data - Taxa'!$AL3:$AL169,"Y",'Data - Taxa'!BJ3:BJ169,"Y")</f>
        <v>3</v>
      </c>
      <c r="G61" s="28">
        <f>COUNTIFS('Data - Taxa'!AU3:AU169, "Y",'Data - Taxa'!$AL3:$AL169,"Y",'Data - Taxa'!BJ3:BJ169,"Y")</f>
        <v>1</v>
      </c>
      <c r="H61" s="28">
        <f>COUNTIFS('Data - Taxa'!AY3:AY169, "Y",'Data - Taxa'!$AL3:$AL169,"Y",'Data - Taxa'!BJ3:BJ169,"Y")</f>
        <v>8</v>
      </c>
      <c r="I61" s="28">
        <f>COUNTIFS('Data - Taxa'!AZ3:AZ169, "Y",'Data - Taxa'!$AL3:$AL169,"Y",'Data - Taxa'!BJ3:BJ169,"Y")</f>
        <v>7</v>
      </c>
    </row>
    <row r="63" spans="1:20" x14ac:dyDescent="0.35">
      <c r="A63" s="28" t="s">
        <v>547</v>
      </c>
    </row>
    <row r="64" spans="1:20" x14ac:dyDescent="0.35">
      <c r="A64" s="51" t="s">
        <v>164</v>
      </c>
      <c r="B64" s="52" t="s">
        <v>12</v>
      </c>
      <c r="C64" s="52" t="s">
        <v>16</v>
      </c>
      <c r="D64" s="52" t="s">
        <v>18</v>
      </c>
      <c r="E64" s="52" t="s">
        <v>24</v>
      </c>
      <c r="F64" s="52" t="s">
        <v>9</v>
      </c>
      <c r="G64" s="52" t="s">
        <v>384</v>
      </c>
      <c r="H64" s="52" t="s">
        <v>62</v>
      </c>
      <c r="I64" s="52" t="s">
        <v>83</v>
      </c>
      <c r="J64" s="52" t="s">
        <v>22</v>
      </c>
      <c r="K64" s="52" t="s">
        <v>54</v>
      </c>
      <c r="L64" s="52" t="s">
        <v>30</v>
      </c>
      <c r="M64" s="52" t="s">
        <v>28</v>
      </c>
      <c r="N64" s="52" t="s">
        <v>49</v>
      </c>
      <c r="O64" s="52" t="s">
        <v>6</v>
      </c>
      <c r="P64" s="52" t="s">
        <v>14</v>
      </c>
      <c r="Q64" s="52" t="s">
        <v>157</v>
      </c>
      <c r="R64" s="52" t="s">
        <v>46</v>
      </c>
      <c r="S64"/>
      <c r="T64"/>
    </row>
    <row r="65" spans="1:20" x14ac:dyDescent="0.35">
      <c r="A65" s="60">
        <v>585</v>
      </c>
      <c r="B65" s="28">
        <f>COUNTIFS('Data - Taxa'!$B$3:$B$169, "Algal", 'Data - Taxa'!$AH$3:$AH$169, "Y",'Data - Taxa'!BK3:BK169,"Y")</f>
        <v>4</v>
      </c>
      <c r="C65" s="28">
        <f>COUNTIFS('Data - Taxa'!$B$3:$B$169, "Arboreomorpha", 'Data - Taxa'!$AH$3:$AH$169, "Y",'Data - Taxa'!BK3:BK169,"Y")</f>
        <v>0</v>
      </c>
      <c r="D65" s="28">
        <f>COUNTIFS('Data - Taxa'!$B$3:$B$169, "Bilateralomorpha", 'Data - Taxa'!$AH$3:$AH$169, "Y",'Data - Taxa'!BK3:BK169,"Y")</f>
        <v>0</v>
      </c>
      <c r="E65" s="28">
        <f>COUNTIFS('Data - Taxa'!$B$3:$B$169, "Cnidarian", 'Data - Taxa'!$AH$3:$AH$169, "Y",'Data - Taxa'!BK3:BK169,"Y")</f>
        <v>0</v>
      </c>
      <c r="F65" s="28">
        <f>COUNTIFS('Data - Taxa'!$B$3:$B$169, "Dickinsoniomorpha", 'Data - Taxa'!$AH$3:$AH$169, "Y",'Data - Taxa'!BK3:BK169,"Y")</f>
        <v>0</v>
      </c>
      <c r="G65" s="28">
        <f>COUNTIFS('Data - Taxa'!$B$3:$B$169, "Complex discoidal", 'Data - Taxa'!$AH$3:$AH$169, "Y",'Data - Taxa'!BK3:BK169,"Y")</f>
        <v>0</v>
      </c>
      <c r="H65" s="28">
        <f>COUNTIFS('Data - Taxa'!$B$3:$B$169, "Erniettomorpha", 'Data - Taxa'!$AH$3:$AH$169, "Y",'Data - Taxa'!BK3:BK169,"Y")</f>
        <v>0</v>
      </c>
      <c r="I65" s="28">
        <f>COUNTIFS('Data - Taxa'!$B$3:$B$169, "Kimberellamorpha", 'Data - Taxa'!$AH$3:$AH$169, "Y",'Data - Taxa'!BK3:BK169,"Y")</f>
        <v>0</v>
      </c>
      <c r="J65" s="28">
        <f>COUNTIFS('Data - Taxa'!$B$3:$B$169, "Pentaradialomorpha", 'Data - Taxa'!$AH$3:$AH$169, "Y",'Data - Taxa'!BK3:BK169,"Y")</f>
        <v>0</v>
      </c>
      <c r="K65" s="28">
        <f>COUNTIFS('Data - Taxa'!$B$3:$B$169, "Protist", 'Data - Taxa'!$AH$3:$AH$169, "Y",'Data - Taxa'!BK3:BK169,"Y")</f>
        <v>3</v>
      </c>
      <c r="L65" s="28">
        <f>COUNTIFS('Data - Taxa'!$B$3:$B$169, "Rangeomorpha", 'Data - Taxa'!$AH$3:$AH$169, "Y",'Data - Taxa'!BK3:BK169,"Y")</f>
        <v>0</v>
      </c>
      <c r="M65" s="28">
        <f>COUNTIFS('Data - Taxa'!$B$3:$B$169, "Sponges", 'Data - Taxa'!$AH$3:$AH$169, "Y",'Data - Taxa'!BK3:BK169,"Y")</f>
        <v>0</v>
      </c>
      <c r="N65" s="28">
        <f>COUNTIFS('Data - Taxa'!$B$3:$B$169, "Tetraradialomorpha", 'Data - Taxa'!$AH$3:$AH$169, "Y",'Data - Taxa'!BK3:BK169,"Y")</f>
        <v>0</v>
      </c>
      <c r="O65" s="28">
        <f>COUNTIFS('Data - Taxa'!$B$3:$B$169, "Triradialomorpha", 'Data - Taxa'!$AH$3:$AH$169, "Y",'Data - Taxa'!BK3:BK169,"Y")</f>
        <v>0</v>
      </c>
      <c r="P65" s="28">
        <f>COUNTIFS('Data - Taxa'!$B$3:$B$169, "Tubular", 'Data - Taxa'!$AH$3:$AH$169, "Y",'Data - Taxa'!BK3:BK169,"Y")</f>
        <v>0</v>
      </c>
      <c r="Q65" s="28">
        <f>COUNTIFS('Data - Taxa'!$B$3:$B$169, "Tunicate", 'Data - Taxa'!$AH$3:$AH$169, "Y",'Data - Taxa'!BK3:BK169,"Y")</f>
        <v>0</v>
      </c>
      <c r="R65" s="28">
        <f>COUNTIFS('Data - Taxa'!$B$3:$B$169, "Miscellaneous", 'Data - Taxa'!$AH$3:$AH$169, "Y",'Data - Taxa'!BK3:BK169,"Y")</f>
        <v>3</v>
      </c>
    </row>
    <row r="66" spans="1:20" x14ac:dyDescent="0.35">
      <c r="A66" s="60">
        <v>575</v>
      </c>
      <c r="B66" s="28">
        <f>COUNTIFS('Data - Taxa'!$B$3:$B$169, "Algal", 'Data - Taxa'!$AI$3:$AI$169, "Y",'Data - Taxa'!BK3:BK169,"Y")</f>
        <v>0</v>
      </c>
      <c r="C66" s="28">
        <f>COUNTIFS('Data - Taxa'!$B$3:$B$169, "Arboreomorpha", 'Data - Taxa'!$AI$3:$AI$169, "Y",'Data - Taxa'!BK3:BK169,"Y")</f>
        <v>1</v>
      </c>
      <c r="D66" s="28">
        <f>COUNTIFS('Data - Taxa'!$B$3:$B$169, "Bilateralomorpha", 'Data - Taxa'!$AI$3:$AI$169, "Y",'Data - Taxa'!BK3:BK169,"Y")</f>
        <v>0</v>
      </c>
      <c r="E66" s="28">
        <f>COUNTIFS('Data - Taxa'!$B$3:$B$169, "Cnidarian", 'Data - Taxa'!$AI$3:$AI$169, "Y",'Data - Taxa'!BK3:BK169,"Y")</f>
        <v>0</v>
      </c>
      <c r="F66" s="28">
        <f>COUNTIFS('Data - Taxa'!$B$3:$B$169, "Dickinsoniomorpha", 'Data - Taxa'!$AI$3:$AI$169, "Y",'Data - Taxa'!BK3:BK169,"Y")</f>
        <v>0</v>
      </c>
      <c r="G66" s="28">
        <f>COUNTIFS('Data - Taxa'!$B$3:$B$169, "Complex discoidal", 'Data - Taxa'!$AI$3:$AI$169, "Y",'Data - Taxa'!BK3:BK169,"Y")</f>
        <v>0</v>
      </c>
      <c r="H66" s="28">
        <f>COUNTIFS('Data - Taxa'!$B$3:$B$169, "Erniettomorpha", 'Data - Taxa'!$AI$3:$AI$169, "Y",'Data - Taxa'!BK3:BK169,"Y")</f>
        <v>0</v>
      </c>
      <c r="I66" s="28">
        <f>COUNTIFS('Data - Taxa'!$B$3:$B$169, "Kimberellamorpha", 'Data - Taxa'!$AI$3:$AI$169, "Y",'Data - Taxa'!BK3:BK169,"Y")</f>
        <v>0</v>
      </c>
      <c r="J66" s="28">
        <f>COUNTIFS('Data - Taxa'!$B$3:$B$169, "Pentaradialomorpha", 'Data - Taxa'!$AI$3:$AI$169, "Y",'Data - Taxa'!BK3:BK169,"Y")</f>
        <v>0</v>
      </c>
      <c r="K66" s="28">
        <f>COUNTIFS('Data - Taxa'!$B$3:$B$169, "Protist", 'Data - Taxa'!$AI$3:$AI$169, "Y",'Data - Taxa'!BK3:BK169,"Y")</f>
        <v>1</v>
      </c>
      <c r="L66" s="28">
        <f>COUNTIFS('Data - Taxa'!$B$3:$B$169, "Rangeomorpha", 'Data - Taxa'!$AI$3:$AI$169, "Y",'Data - Taxa'!BK3:BK169,"Y")</f>
        <v>5</v>
      </c>
      <c r="M66" s="28">
        <f>COUNTIFS('Data - Taxa'!$B$3:$B$169, "Sponges", 'Data - Taxa'!$AI$3:$AI$169, "Y",'Data - Taxa'!BK3:BK169,"Y")</f>
        <v>0</v>
      </c>
      <c r="N66" s="28">
        <f>COUNTIFS('Data - Taxa'!$B$3:$B$169, "Tetraradialomorpha", 'Data - Taxa'!$AI$3:$AI$169, "Y",'Data - Taxa'!BK3:BK169,"Y")</f>
        <v>0</v>
      </c>
      <c r="O66" s="28">
        <f>COUNTIFS('Data - Taxa'!$B$3:$B$169, "Triradialomorpha", 'Data - Taxa'!$AI$3:$AI$169, "Y",'Data - Taxa'!BK3:BK169,"Y")</f>
        <v>0</v>
      </c>
      <c r="P66" s="28">
        <f>COUNTIFS('Data - Taxa'!$B$3:$B$169, "Tubular", 'Data - Taxa'!$AI$3:$AI$169, "Y",'Data - Taxa'!BK3:BK169,"Y")</f>
        <v>3</v>
      </c>
      <c r="Q66" s="28">
        <f>COUNTIFS('Data - Taxa'!$B$3:$B$169, "Tunicate", 'Data - Taxa'!$AI$3:$AI$169, "Y",'Data - Taxa'!BK3:BK169,"Y")</f>
        <v>0</v>
      </c>
      <c r="R66" s="28">
        <f>COUNTIFS('Data - Taxa'!$B$3:$B$169, "Miscellaneous", 'Data - Taxa'!$AI$3:$AI$169, "Y",'Data - Taxa'!BK3:BK169,"Y")</f>
        <v>1</v>
      </c>
    </row>
    <row r="67" spans="1:20" x14ac:dyDescent="0.35">
      <c r="A67" s="60">
        <v>565</v>
      </c>
      <c r="B67" s="28">
        <f>COUNTIFS('Data - Taxa'!$B$3:$B$169, "Algal", 'Data - Taxa'!$AJ$3:$AJ$169, "Y",'Data - Taxa'!BK3:BK169,"Y")</f>
        <v>0</v>
      </c>
      <c r="C67" s="28">
        <f>COUNTIFS('Data - Taxa'!$B$3:$B$169, "Arboreomorpha", 'Data - Taxa'!$AJ$3:$AJ$169, "Y",'Data - Taxa'!BK3:BK169,"Y")</f>
        <v>2</v>
      </c>
      <c r="D67" s="28">
        <f>COUNTIFS('Data - Taxa'!$B$3:$B$169, "Bilateralomorpha", 'Data - Taxa'!$AJ$3:$AJ$169, "Y",'Data - Taxa'!BK3:BK169,"Y")</f>
        <v>0</v>
      </c>
      <c r="E67" s="28">
        <f>COUNTIFS('Data - Taxa'!$B$3:$B$169, "Cnidarian", 'Data - Taxa'!$AJ$3:$AJ$169, "Y",'Data - Taxa'!BK3:BK169,"Y")</f>
        <v>0</v>
      </c>
      <c r="F67" s="28">
        <f>COUNTIFS('Data - Taxa'!$B$3:$B$169, "Dickinsoniomorpha", 'Data - Taxa'!$AJ$3:$AJ$169, "Y",'Data - Taxa'!BK3:BK169,"Y")</f>
        <v>0</v>
      </c>
      <c r="G67" s="28">
        <f>COUNTIFS('Data - Taxa'!$B$3:$B$169, "Complex discoidal", 'Data - Taxa'!$AJ$3:$AJ$169, "Y",'Data - Taxa'!BK3:BK169,"Y")</f>
        <v>0</v>
      </c>
      <c r="H67" s="28">
        <f>COUNTIFS('Data - Taxa'!$B$3:$B$169, "Erniettomorpha", 'Data - Taxa'!$AJ$3:$AJ$169, "Y",'Data - Taxa'!BK3:BK169,"Y")</f>
        <v>0</v>
      </c>
      <c r="I67" s="28">
        <f>COUNTIFS('Data - Taxa'!$B$3:$B$169, "Kimberellamorpha", 'Data - Taxa'!$AJ$3:$AJ$169, "Y",'Data - Taxa'!BK3:BK169,"Y")</f>
        <v>0</v>
      </c>
      <c r="J67" s="28">
        <f>COUNTIFS('Data - Taxa'!$B$3:$B$169, "Pentaradialomorpha", 'Data - Taxa'!$AJ$3:$AJ$169, "Y",'Data - Taxa'!BK3:BK169,"Y")</f>
        <v>0</v>
      </c>
      <c r="K67" s="28">
        <f>COUNTIFS('Data - Taxa'!$B$3:$B$169, "Protist", 'Data - Taxa'!$AJ$3:$AJ$169, "Y",'Data - Taxa'!BK3:BK169,"Y")</f>
        <v>2</v>
      </c>
      <c r="L67" s="28">
        <f>COUNTIFS('Data - Taxa'!$B$3:$B$169, "Rangeomorpha", 'Data - Taxa'!$AJ$3:$AJ$169, "Y",'Data - Taxa'!BK3:BK169,"Y")</f>
        <v>5</v>
      </c>
      <c r="M67" s="28">
        <f>COUNTIFS('Data - Taxa'!$B$3:$B$169, "Sponges", 'Data - Taxa'!$AJ$3:$AJ$169, "Y",'Data - Taxa'!BK3:BK169,"Y")</f>
        <v>0</v>
      </c>
      <c r="N67" s="28">
        <f>COUNTIFS('Data - Taxa'!$B$3:$B$169, "Tetraradialomorpha", 'Data - Taxa'!$AJ$3:$AJ$169, "Y",'Data - Taxa'!BK3:BK169,"Y")</f>
        <v>0</v>
      </c>
      <c r="O67" s="28">
        <f>COUNTIFS('Data - Taxa'!$B$3:$B$169, "Triradialomorpha", 'Data - Taxa'!$AJ$3:$AJ$169, "Y",'Data - Taxa'!BK3:BK169,"Y")</f>
        <v>0</v>
      </c>
      <c r="P67" s="28">
        <f>COUNTIFS('Data - Taxa'!$B$3:$B$169, "Tubular", 'Data - Taxa'!$AJ$3:$AJ$169, "Y",'Data - Taxa'!BK3:BK169,"Y")</f>
        <v>0</v>
      </c>
      <c r="Q67" s="28">
        <f>COUNTIFS('Data - Taxa'!$B$3:$B$169, "Tunicate", 'Data - Taxa'!$AJ$3:$AJ$169, "Y",'Data - Taxa'!BK3:BK169,"Y")</f>
        <v>0</v>
      </c>
      <c r="R67" s="28">
        <f>COUNTIFS('Data - Taxa'!$B$3:$B$169, "Miscellaneous", 'Data - Taxa'!$AJ$3:$AJ$169, "Y",'Data - Taxa'!BK3:BK169,"Y")</f>
        <v>0</v>
      </c>
    </row>
    <row r="68" spans="1:20" x14ac:dyDescent="0.35">
      <c r="A68" s="60">
        <v>555</v>
      </c>
      <c r="B68" s="28">
        <f>COUNTIFS('Data - Taxa'!$B$3:$B$169, "Algal", 'Data - Taxa'!$AK$3:$AK$169, "Y",'Data - Taxa'!BK3:BK169,"Y")</f>
        <v>16</v>
      </c>
      <c r="C68" s="28">
        <f>COUNTIFS('Data - Taxa'!$B$3:$B$169, "Arboreomorpha", 'Data - Taxa'!$AK$3:$AK$169, "Y",'Data - Taxa'!BK3:BK169,"Y")+1</f>
        <v>6</v>
      </c>
      <c r="D68" s="28">
        <f>COUNTIFS('Data - Taxa'!$B$3:$B$169, "Bilateralomorpha", 'Data - Taxa'!$AK$3:$AK$169, "Y",'Data - Taxa'!BK3:BK169,"Y")</f>
        <v>15</v>
      </c>
      <c r="E68" s="28">
        <f>COUNTIFS('Data - Taxa'!$B$3:$B$169, "Cnidarian", 'Data - Taxa'!$AK$3:$AK$169, "Y",'Data - Taxa'!BK3:BK169,"Y")</f>
        <v>3</v>
      </c>
      <c r="F68" s="28">
        <f>COUNTIFS('Data - Taxa'!$B$3:$B$169, "Dickinsoniomorpha", 'Data - Taxa'!$AK$3:$AK$169, "Y",'Data - Taxa'!BK3:BK169,"Y")</f>
        <v>7</v>
      </c>
      <c r="G68" s="28">
        <f>COUNTIFS('Data - Taxa'!$B$3:$B$169, "Complex discoidal", 'Data - Taxa'!$AK$3:$AK$169, "Y",'Data - Taxa'!BK3:BK169,"Y")</f>
        <v>3</v>
      </c>
      <c r="H68" s="28">
        <f>COUNTIFS('Data - Taxa'!$B$3:$B$169, "Erniettomorpha", 'Data - Taxa'!$AK$3:$AK$169, "Y",'Data - Taxa'!BK3:BK169,"Y")</f>
        <v>4</v>
      </c>
      <c r="I68" s="28">
        <f>COUNTIFS('Data - Taxa'!$B$3:$B$169, "Kimberellamorpha", 'Data - Taxa'!$AK$3:$AK$169, "Y",'Data - Taxa'!BK3:BK169,"Y")</f>
        <v>2</v>
      </c>
      <c r="J68" s="28">
        <f>COUNTIFS('Data - Taxa'!$B$3:$B$169, "Pentaradialomorpha", 'Data - Taxa'!$AK$3:$AK$169, "Y",'Data - Taxa'!BK3:BK169,"Y")</f>
        <v>1</v>
      </c>
      <c r="K68" s="28">
        <f>COUNTIFS('Data - Taxa'!$B$3:$B$169, "Protist", 'Data - Taxa'!$AK$3:$AK$169, "Y",'Data - Taxa'!BK3:BK169,"Y")</f>
        <v>3</v>
      </c>
      <c r="L68" s="28">
        <f>COUNTIFS('Data - Taxa'!$B$3:$B$169, "Rangeomorpha", 'Data - Taxa'!$AK$3:$AK$169, "Y",'Data - Taxa'!BK3:BK169,"Y")</f>
        <v>7</v>
      </c>
      <c r="M68" s="28">
        <f>COUNTIFS('Data - Taxa'!$B$3:$B$169, "Sponges", 'Data - Taxa'!$AK$3:$AK$169, "Y",'Data - Taxa'!BK3:BK169,"Y")</f>
        <v>4</v>
      </c>
      <c r="N68" s="28">
        <f>COUNTIFS('Data - Taxa'!$B$3:$B$169, "Tetraradialomorpha", 'Data - Taxa'!$AK$3:$AK$169, "Y",'Data - Taxa'!BK3:BK169,"Y")</f>
        <v>1</v>
      </c>
      <c r="O68" s="28">
        <f>COUNTIFS('Data - Taxa'!$B$3:$B$169, "Triradialomorpha", 'Data - Taxa'!$AK$3:$AK$169, "Y",'Data - Taxa'!BK3:BK169,"Y")</f>
        <v>5</v>
      </c>
      <c r="P68" s="28">
        <f>COUNTIFS('Data - Taxa'!$B$3:$B$169, "Tubular", 'Data - Taxa'!$AK$3:$AK$169, "Y",'Data - Taxa'!BK3:BK169,"Y")</f>
        <v>10</v>
      </c>
      <c r="Q68" s="28">
        <f>COUNTIFS('Data - Taxa'!$B$3:$B$169, "Tunicate", 'Data - Taxa'!$AK$3:$AK$169, "Y",'Data - Taxa'!BK3:BK169,"Y")</f>
        <v>0</v>
      </c>
      <c r="R68" s="28">
        <f>COUNTIFS('Data - Taxa'!$B$3:$B$169, "Miscellaneous", 'Data - Taxa'!$AK$3:$AK$169, "Y",'Data - Taxa'!BK3:BK169,"Y")+1</f>
        <v>21</v>
      </c>
    </row>
    <row r="69" spans="1:20" x14ac:dyDescent="0.35">
      <c r="A69" s="60">
        <v>545</v>
      </c>
      <c r="B69" s="28">
        <f>COUNTIFS('Data - Taxa'!$B$3:$B$169, "Algal", 'Data - Taxa'!$AL$3:$AL$169, "Y",'Data - Taxa'!BK3:BK169,"Y")</f>
        <v>7</v>
      </c>
      <c r="C69" s="28">
        <f>COUNTIFS('Data - Taxa'!$B$3:$B$169, "Arboreomorpha", 'Data - Taxa'!$AL$3:$AL$169, "Y",'Data - Taxa'!BK3:BK169,"Y")+1</f>
        <v>3</v>
      </c>
      <c r="D69" s="28">
        <f>COUNTIFS('Data - Taxa'!$B$3:$B$169, "Bilateralomorpha", 'Data - Taxa'!$AL$3:$AL$169, "Y",'Data - Taxa'!BK3:BK169,"Y")</f>
        <v>2</v>
      </c>
      <c r="E69" s="28">
        <f>COUNTIFS('Data - Taxa'!$B$3:$B$169, "Cnidarian", 'Data - Taxa'!$AL$3:$AL$169, "Y",'Data - Taxa'!BK3:BK169,"Y")</f>
        <v>1</v>
      </c>
      <c r="F69" s="28">
        <f>COUNTIFS('Data - Taxa'!$B$3:$B$169, "Dickinsoniomorpha", 'Data - Taxa'!$AL$3:$AL$169, "Y",'Data - Taxa'!BK3:BK169,"Y")</f>
        <v>1</v>
      </c>
      <c r="G69" s="28">
        <f>COUNTIFS('Data - Taxa'!$B$3:$B$169, "Complex discoidal", 'Data - Taxa'!$AL$3:$AL$169, "Y",'Data - Taxa'!BK3:BK169,"Y")</f>
        <v>3</v>
      </c>
      <c r="H69" s="28">
        <f>COUNTIFS('Data - Taxa'!$B$3:$B$169, "Erniettomorpha", 'Data - Taxa'!$AL$3:$AL$169, "Y",'Data - Taxa'!BK3:BK169,"Y")</f>
        <v>1</v>
      </c>
      <c r="I69" s="28">
        <f>COUNTIFS('Data - Taxa'!$B$3:$B$169, "Kimberellamorpha", 'Data - Taxa'!$AL$3:$AL$169, "Y",'Data - Taxa'!BK3:BK169,"Y")</f>
        <v>1</v>
      </c>
      <c r="J69" s="28">
        <f>COUNTIFS('Data - Taxa'!$B$3:$B$169, "Pentaradialomorpha", 'Data - Taxa'!$AL$3:$AL$169, "Y",'Data - Taxa'!BK3:BK169,"Y")</f>
        <v>0</v>
      </c>
      <c r="K69" s="28">
        <f>COUNTIFS('Data - Taxa'!$B$3:$B$169, "Protist", 'Data - Taxa'!$AL$3:$AL$169, "Y",'Data - Taxa'!BK3:BK169,"Y")</f>
        <v>4</v>
      </c>
      <c r="L69" s="28">
        <f>COUNTIFS('Data - Taxa'!$B$3:$B$169, "Rangeomorpha", 'Data - Taxa'!$AL$3:$AL$169, "Y",'Data - Taxa'!BK3:BK169,"Y")</f>
        <v>3</v>
      </c>
      <c r="M69" s="28">
        <f>COUNTIFS('Data - Taxa'!$B$3:$B$169, "Sponges", 'Data - Taxa'!$AL$3:$AL$169, "Y",'Data - Taxa'!BK3:BK169,"Y")</f>
        <v>0</v>
      </c>
      <c r="N69" s="28">
        <f>COUNTIFS('Data - Taxa'!$B$3:$B$169, "Tetraradialomorpha", 'Data - Taxa'!$AL$3:$AL$169, "Y",'Data - Taxa'!BK3:BK169,"Y")</f>
        <v>1</v>
      </c>
      <c r="O69" s="28">
        <f>COUNTIFS('Data - Taxa'!$B$3:$B$169, "Triradialomorpha", 'Data - Taxa'!$AL$3:$AL$169, "Y",'Data - Taxa'!BK3:BK169,"Y")</f>
        <v>2</v>
      </c>
      <c r="P69" s="28">
        <f>COUNTIFS('Data - Taxa'!$B$3:$B$169, "Tubular", 'Data - Taxa'!$AL$3:$AL$169, "Y",'Data - Taxa'!BK3:BK169,"Y")</f>
        <v>18</v>
      </c>
      <c r="Q69" s="28">
        <f>COUNTIFS('Data - Taxa'!$B$3:$B$169, "Tunicate", 'Data - Taxa'!$AL$3:$AL$169, "Y",'Data - Taxa'!BK3:BK169,"Y")</f>
        <v>0</v>
      </c>
      <c r="R69" s="28">
        <f>COUNTIFS('Data - Taxa'!$B$3:$B$169, "Miscellaneous", 'Data - Taxa'!$AL$3:$AL$169, "Y",'Data - Taxa'!BK3:BK169,"Y")+1</f>
        <v>7</v>
      </c>
    </row>
    <row r="70" spans="1:20" x14ac:dyDescent="0.35">
      <c r="A70" s="28" t="s">
        <v>548</v>
      </c>
    </row>
    <row r="71" spans="1:20" x14ac:dyDescent="0.35">
      <c r="A71" s="51" t="s">
        <v>164</v>
      </c>
      <c r="B71" s="52" t="s">
        <v>12</v>
      </c>
      <c r="C71" s="52" t="s">
        <v>16</v>
      </c>
      <c r="D71" s="52" t="s">
        <v>18</v>
      </c>
      <c r="E71" s="52" t="s">
        <v>24</v>
      </c>
      <c r="F71" s="52" t="s">
        <v>9</v>
      </c>
      <c r="G71" s="52" t="s">
        <v>384</v>
      </c>
      <c r="H71" s="52" t="s">
        <v>62</v>
      </c>
      <c r="I71" s="52" t="s">
        <v>83</v>
      </c>
      <c r="J71" s="52" t="s">
        <v>22</v>
      </c>
      <c r="K71" s="52" t="s">
        <v>54</v>
      </c>
      <c r="L71" s="52" t="s">
        <v>30</v>
      </c>
      <c r="M71" s="52" t="s">
        <v>28</v>
      </c>
      <c r="N71" s="52" t="s">
        <v>49</v>
      </c>
      <c r="O71" s="52" t="s">
        <v>6</v>
      </c>
      <c r="P71" s="52" t="s">
        <v>14</v>
      </c>
      <c r="Q71" s="52" t="s">
        <v>157</v>
      </c>
      <c r="R71" s="52" t="s">
        <v>46</v>
      </c>
      <c r="S71"/>
      <c r="T71"/>
    </row>
    <row r="72" spans="1:20" x14ac:dyDescent="0.35">
      <c r="A72" s="60">
        <v>585</v>
      </c>
      <c r="B72" s="28">
        <f>COUNTIFS('Data - Taxa'!$B$3:$B$169, "Algal", 'Data - Taxa'!$AH$3:$AH$169, "Y",'Data - Taxa'!BJ3:BJ169,"Y")</f>
        <v>0</v>
      </c>
      <c r="C72" s="28">
        <f>COUNTIFS('Data - Taxa'!$B$3:$B$169, "Arboreomorpha", 'Data - Taxa'!$AH$3:$AH$169, "Y",'Data - Taxa'!BJ3:BJ169,"Y")</f>
        <v>0</v>
      </c>
      <c r="D72" s="28">
        <f>COUNTIFS('Data - Taxa'!$B$3:$B$169, "Bilateralomorpha", 'Data - Taxa'!$AH$3:$AH$169, "Y",'Data - Taxa'!BJ3:BJ169,"Y")</f>
        <v>0</v>
      </c>
      <c r="E72" s="28">
        <f>COUNTIFS('Data - Taxa'!$B$3:$B$169, "Cnidarian", 'Data - Taxa'!$AH$3:$AH$169, "Y",'Data - Taxa'!BJ3:BJ169,"Y")</f>
        <v>0</v>
      </c>
      <c r="F72" s="28">
        <f>COUNTIFS('Data - Taxa'!$B$3:$B$169, "Dickinsoniomorpha", 'Data - Taxa'!$AH$3:$AH$169, "Y",'Data - Taxa'!BJ3:BJ169,"Y")</f>
        <v>0</v>
      </c>
      <c r="G72" s="28">
        <f>COUNTIFS('Data - Taxa'!$B$3:$B$169, "Complex discoidal", 'Data - Taxa'!$AH$3:$AH$169, "Y",'Data - Taxa'!BJ3:BJ169,"Y")</f>
        <v>0</v>
      </c>
      <c r="H72" s="28">
        <f>COUNTIFS('Data - Taxa'!$B$3:$B$169, "Erniettomorpha", 'Data - Taxa'!$AH$3:$AH$169, "Y",'Data - Taxa'!BJ3:BJ169,"Y")</f>
        <v>0</v>
      </c>
      <c r="I72" s="28">
        <f>COUNTIFS('Data - Taxa'!$B$3:$B$169, "Kimberellamorpha", 'Data - Taxa'!$AH$3:$AH$169, "Y",'Data - Taxa'!BJ3:BJ169,"Y")</f>
        <v>0</v>
      </c>
      <c r="J72" s="28">
        <f>COUNTIFS('Data - Taxa'!$B$3:$B$169, "Pentaradialomorpha", 'Data - Taxa'!$AH$3:$AH$169, "Y",'Data - Taxa'!BJ3:BJ169,"Y")</f>
        <v>0</v>
      </c>
      <c r="K72" s="28">
        <f>COUNTIFS('Data - Taxa'!$B$3:$B$169, "Protist", 'Data - Taxa'!$AH$3:$AH$169, "Y",'Data - Taxa'!BJ3:BJ169,"Y")</f>
        <v>2</v>
      </c>
      <c r="L72" s="28">
        <f>COUNTIFS('Data - Taxa'!$B$3:$B$169, "Rangeomorpha", 'Data - Taxa'!$AH$3:$AH$169, "Y",'Data - Taxa'!BJ3:BJ169,"Y")</f>
        <v>0</v>
      </c>
      <c r="M72" s="28">
        <f>COUNTIFS('Data - Taxa'!$B$3:$B$169, "Sponges", 'Data - Taxa'!$AH$3:$AH$169, "Y",'Data - Taxa'!BJ3:BJ169,"Y")</f>
        <v>0</v>
      </c>
      <c r="N72" s="28">
        <f>COUNTIFS('Data - Taxa'!$B$3:$B$169, "Tetraradialomorpha", 'Data - Taxa'!$AH$3:$AH$169, "Y",'Data - Taxa'!BJ3:BJ169,"Y")</f>
        <v>0</v>
      </c>
      <c r="O72" s="28">
        <f>COUNTIFS('Data - Taxa'!$B$3:$B$169, "Triradialomorpha", 'Data - Taxa'!$AH$3:$AH$169, "Y",'Data - Taxa'!BJ3:BJ169,"Y")</f>
        <v>0</v>
      </c>
      <c r="P72" s="28">
        <f>COUNTIFS('Data - Taxa'!$B$3:$B$169, "Tubular", 'Data - Taxa'!$AH$3:$AH$169, "Y",'Data - Taxa'!BJ3:BJ169,"Y")</f>
        <v>0</v>
      </c>
      <c r="Q72" s="28">
        <f>COUNTIFS('Data - Taxa'!$B$3:$B$169, "Tunicate", 'Data - Taxa'!$AH$3:$AH$169, "Y",'Data - Taxa'!BJ3:BJ169,"Y")</f>
        <v>0</v>
      </c>
      <c r="R72" s="28">
        <f>COUNTIFS('Data - Taxa'!$B$3:$B$169, "Miscellaneous", 'Data - Taxa'!$AH$3:$AH$169, "Y",'Data - Taxa'!BJ3:BJ169,"Y")</f>
        <v>0</v>
      </c>
    </row>
    <row r="73" spans="1:20" x14ac:dyDescent="0.35">
      <c r="A73" s="60">
        <v>575</v>
      </c>
      <c r="B73" s="28">
        <f>COUNTIFS('Data - Taxa'!$B$3:$B$169, "Algal", 'Data - Taxa'!$AI$3:$AI$169, "Y",'Data - Taxa'!BJ3:BJ169,"Y")</f>
        <v>0</v>
      </c>
      <c r="C73" s="28">
        <f>COUNTIFS('Data - Taxa'!$B$3:$B$169, "Arboreomorpha", 'Data - Taxa'!$AI$3:$AI$169, "Y",'Data - Taxa'!BJ3:BJ169,"Y")</f>
        <v>1</v>
      </c>
      <c r="D73" s="28">
        <f>COUNTIFS('Data - Taxa'!$B$3:$B$169, "Bilateralomorpha", 'Data - Taxa'!$AI$3:$AI$169, "Y",'Data - Taxa'!BJ3:BJ169,"Y")</f>
        <v>0</v>
      </c>
      <c r="E73" s="28">
        <f>COUNTIFS('Data - Taxa'!$B$3:$B$169, "Cnidarian", 'Data - Taxa'!$AI$3:$AI$169, "Y",'Data - Taxa'!BJ3:BJ169,"Y")</f>
        <v>0</v>
      </c>
      <c r="F73" s="28">
        <f>COUNTIFS('Data - Taxa'!$B$3:$B$169, "Dickinsoniomorpha", 'Data - Taxa'!$AI$3:$AI$169, "Y",'Data - Taxa'!BJ3:BJ169,"Y")</f>
        <v>0</v>
      </c>
      <c r="G73" s="28">
        <f>COUNTIFS('Data - Taxa'!$B$3:$B$169, "Complex discoidal", 'Data - Taxa'!$AI$3:$AI$169, "Y",'Data - Taxa'!BJ3:BJ169,"Y")</f>
        <v>0</v>
      </c>
      <c r="H73" s="28">
        <f>COUNTIFS('Data - Taxa'!$B$3:$B$169, "Erniettomorpha", 'Data - Taxa'!$AI$3:$AI$169, "Y",'Data - Taxa'!BJ3:BJ169,"Y")</f>
        <v>0</v>
      </c>
      <c r="I73" s="28">
        <f>COUNTIFS('Data - Taxa'!$B$3:$B$169, "Kimberellamorpha", 'Data - Taxa'!$AI$3:$AI$169, "Y",'Data - Taxa'!BJ3:BJ169,"Y")</f>
        <v>0</v>
      </c>
      <c r="J73" s="28">
        <f>COUNTIFS('Data - Taxa'!$B$3:$B$169, "Pentaradialomorpha", 'Data - Taxa'!$AI$3:$AI$169, "Y",'Data - Taxa'!BJ3:BJ169,"Y")</f>
        <v>0</v>
      </c>
      <c r="K73" s="28">
        <f>COUNTIFS('Data - Taxa'!$B$3:$B$169, "Protist", 'Data - Taxa'!$AI$3:$AI$169, "Y",'Data - Taxa'!BJ3:BJ169,"Y")</f>
        <v>1</v>
      </c>
      <c r="L73" s="28">
        <f>COUNTIFS('Data - Taxa'!$B$3:$B$169, "Rangeomorpha", 'Data - Taxa'!$AI$3:$AI$169, "Y",'Data - Taxa'!BJ3:BJ169,"Y")</f>
        <v>7</v>
      </c>
      <c r="M73" s="28">
        <f>COUNTIFS('Data - Taxa'!$B$3:$B$169, "Sponges", 'Data - Taxa'!$AI$3:$AI$169, "Y",'Data - Taxa'!BJ3:BJ169,"Y")</f>
        <v>1</v>
      </c>
      <c r="N73" s="28">
        <f>COUNTIFS('Data - Taxa'!$B$3:$B$169, "Tetraradialomorpha", 'Data - Taxa'!$AI$3:$AI$169, "Y",'Data - Taxa'!BJ3:BJ169,"Y")</f>
        <v>0</v>
      </c>
      <c r="O73" s="28">
        <f>COUNTIFS('Data - Taxa'!$B$3:$B$169, "Triradialomorpha", 'Data - Taxa'!$AI$3:$AI$169, "Y",'Data - Taxa'!BJ3:BJ169,"Y")</f>
        <v>0</v>
      </c>
      <c r="P73" s="28">
        <f>COUNTIFS('Data - Taxa'!$B$3:$B$169, "Tubular", 'Data - Taxa'!$AI$3:$AI$169, "Y",'Data - Taxa'!BJ3:BJ169,"Y")</f>
        <v>0</v>
      </c>
      <c r="Q73" s="28">
        <f>COUNTIFS('Data - Taxa'!$B$3:$B$169, "Tunicate", 'Data - Taxa'!$AI$3:$AI$169, "Y",'Data - Taxa'!BJ3:BJ169,"Y")</f>
        <v>0</v>
      </c>
      <c r="R73" s="28">
        <f>COUNTIFS('Data - Taxa'!$B$3:$B$169, "Miscellaneous", 'Data - Taxa'!$AI$3:$AI$169, "Y",'Data - Taxa'!BJ3:BJ169,"Y")</f>
        <v>1</v>
      </c>
    </row>
    <row r="74" spans="1:20" x14ac:dyDescent="0.35">
      <c r="A74" s="60">
        <v>565</v>
      </c>
      <c r="B74" s="28">
        <f>COUNTIFS('Data - Taxa'!$B$3:$B$169, "Algal", 'Data - Taxa'!$AJ$3:$AJ$169, "Y",'Data - Taxa'!BJ3:BJ169,"Y")</f>
        <v>0</v>
      </c>
      <c r="C74" s="28">
        <f>COUNTIFS('Data - Taxa'!$B$3:$B$169, "Arboreomorpha", 'Data - Taxa'!$AJ$3:$AJ$169, "Y",'Data - Taxa'!BJ3:BJ169,"Y")</f>
        <v>2</v>
      </c>
      <c r="D74" s="28">
        <f>COUNTIFS('Data - Taxa'!$B$3:$B$169, "Bilateralomorpha", 'Data - Taxa'!$AJ$3:$AJ$169, "Y",'Data - Taxa'!BJ3:BJ169,"Y")</f>
        <v>0</v>
      </c>
      <c r="E74" s="28">
        <f>COUNTIFS('Data - Taxa'!$B$3:$B$169, "Cnidarian", 'Data - Taxa'!$AJ$3:$AJ$169, "Y",'Data - Taxa'!BJ3:BJ169,"Y")</f>
        <v>1</v>
      </c>
      <c r="F74" s="28">
        <f>COUNTIFS('Data - Taxa'!$B$3:$B$169, "Dickinsoniomorpha", 'Data - Taxa'!$AJ$3:$AJ$169, "Y",'Data - Taxa'!BJ3:BJ169,"Y")</f>
        <v>0</v>
      </c>
      <c r="G74" s="28">
        <f>COUNTIFS('Data - Taxa'!$B$3:$B$169, "Complex discoidal", 'Data - Taxa'!$AJ$3:$AJ$169, "Y",'Data - Taxa'!BJ3:BJ169,"Y")</f>
        <v>0</v>
      </c>
      <c r="H74" s="28">
        <f>COUNTIFS('Data - Taxa'!$B$3:$B$169, "Erniettomorpha", 'Data - Taxa'!$AJ$3:$AJ$169, "Y",'Data - Taxa'!BJ3:BJ169,"Y")</f>
        <v>0</v>
      </c>
      <c r="I74" s="28">
        <f>COUNTIFS('Data - Taxa'!$B$3:$B$169, "Kimberellamorpha", 'Data - Taxa'!$AJ$3:$AJ$169, "Y",'Data - Taxa'!BJ3:BJ169,"Y")</f>
        <v>0</v>
      </c>
      <c r="J74" s="28">
        <f>COUNTIFS('Data - Taxa'!$B$3:$B$169, "Pentaradialomorpha", 'Data - Taxa'!$AJ$3:$AJ$169, "Y",'Data - Taxa'!BJ3:BJ169,"Y")</f>
        <v>0</v>
      </c>
      <c r="K74" s="28">
        <f>COUNTIFS('Data - Taxa'!$B$3:$B$169, "Protist", 'Data - Taxa'!$AJ$3:$AJ$169, "Y",'Data - Taxa'!BJ3:BJ169,"Y")</f>
        <v>2</v>
      </c>
      <c r="L74" s="28">
        <f>COUNTIFS('Data - Taxa'!$B$3:$B$169, "Rangeomorpha", 'Data - Taxa'!$AJ$3:$AJ$169, "Y",'Data - Taxa'!BJ3:BJ169,"Y")</f>
        <v>15</v>
      </c>
      <c r="M74" s="28">
        <f>COUNTIFS('Data - Taxa'!$B$3:$B$169, "Sponges", 'Data - Taxa'!$AJ$3:$AJ$169, "Y",'Data - Taxa'!BJ3:BJ169,"Y")</f>
        <v>1</v>
      </c>
      <c r="N74" s="28">
        <f>COUNTIFS('Data - Taxa'!$B$3:$B$169, "Tetraradialomorpha", 'Data - Taxa'!$AJ$3:$AJ$169, "Y",'Data - Taxa'!BJ3:BJ169,"Y")</f>
        <v>0</v>
      </c>
      <c r="O74" s="28">
        <f>COUNTIFS('Data - Taxa'!$B$3:$B$169, "Triradialomorpha", 'Data - Taxa'!$AJ$3:$AJ$169, "Y",'Data - Taxa'!BJ3:BJ169,"Y")</f>
        <v>1</v>
      </c>
      <c r="P74" s="28">
        <f>COUNTIFS('Data - Taxa'!$B$3:$B$169, "Tubular", 'Data - Taxa'!$AJ$3:$AJ$169, "Y",'Data - Taxa'!BJ3:BJ169,"Y")</f>
        <v>0</v>
      </c>
      <c r="Q74" s="28">
        <f>COUNTIFS('Data - Taxa'!$B$3:$B$169, "Tunicate", 'Data - Taxa'!$AJ$3:$AJ$169, "Y",'Data - Taxa'!BJ3:BJ169,"Y")</f>
        <v>0</v>
      </c>
      <c r="R74" s="28">
        <f>COUNTIFS('Data - Taxa'!$B$3:$B$169, "Miscellaneous", 'Data - Taxa'!$AJ$3:$AJ$169, "Y",'Data - Taxa'!BJ3:BJ169,"Y")+1</f>
        <v>3</v>
      </c>
    </row>
    <row r="75" spans="1:20" x14ac:dyDescent="0.35">
      <c r="A75" s="60">
        <v>555</v>
      </c>
      <c r="B75" s="28">
        <f>COUNTIFS('Data - Taxa'!$B$3:$B$169, "Algal", 'Data - Taxa'!$AK$3:$AK$169, "Y",'Data - Taxa'!BJ3:BJ169,"Y")</f>
        <v>2</v>
      </c>
      <c r="C75" s="28">
        <f>COUNTIFS('Data - Taxa'!$B$3:$B$169, "Arboreomorpha", 'Data - Taxa'!$AK$3:$AK$169, "Y",'Data - Taxa'!BJ3:BJ169,"Y")</f>
        <v>2</v>
      </c>
      <c r="D75" s="28">
        <f>COUNTIFS('Data - Taxa'!$B$3:$B$169, "Bilateralomorpha", 'Data - Taxa'!$AK$3:$AK$169, "Y",'Data - Taxa'!BJ3:BJ169,"Y")</f>
        <v>0</v>
      </c>
      <c r="E75" s="28">
        <f>COUNTIFS('Data - Taxa'!$B$3:$B$169, "Cnidarian", 'Data - Taxa'!$AK$3:$AK$169, "Y",'Data - Taxa'!BJ3:BJ169,"Y")</f>
        <v>1</v>
      </c>
      <c r="F75" s="28">
        <f>COUNTIFS('Data - Taxa'!$B$3:$B$169, "Dickinsoniomorpha", 'Data - Taxa'!$AK$3:$AK$169, "Y",'Data - Taxa'!BJ3:BJ169,"Y")</f>
        <v>0</v>
      </c>
      <c r="G75" s="28">
        <f>COUNTIFS('Data - Taxa'!$B$3:$B$169, "Complex discoidal", 'Data - Taxa'!$AK$3:$AK$169, "Y",'Data - Taxa'!BJ3:BJ169,"Y")</f>
        <v>0</v>
      </c>
      <c r="H75" s="28">
        <f>COUNTIFS('Data - Taxa'!$B$3:$B$169, "Erniettomorpha", 'Data - Taxa'!$AK$3:$AK$169, "Y",'Data - Taxa'!BJ3:BJ169,"Y")</f>
        <v>1</v>
      </c>
      <c r="I75" s="28">
        <f>COUNTIFS('Data - Taxa'!$B$3:$B$169, "Kimberellamorpha", 'Data - Taxa'!$AK$3:$AK$169, "Y",'Data - Taxa'!BJ3:BJ169,"Y")</f>
        <v>0</v>
      </c>
      <c r="J75" s="28">
        <f>COUNTIFS('Data - Taxa'!$B$3:$B$169, "Pentaradialomorpha", 'Data - Taxa'!$AK$3:$AK$169, "Y",'Data - Taxa'!BJ3:BJ169,"Y")</f>
        <v>0</v>
      </c>
      <c r="K75" s="28">
        <f>COUNTIFS('Data - Taxa'!$B$3:$B$169, "Protist", 'Data - Taxa'!$AK$3:$AK$169, "Y",'Data - Taxa'!BJ3:BJ169,"Y")</f>
        <v>3</v>
      </c>
      <c r="L75" s="28">
        <f>COUNTIFS('Data - Taxa'!$B$3:$B$169, "Rangeomorpha", 'Data - Taxa'!$AK$3:$AK$169, "Y",'Data - Taxa'!BJ3:BJ169,"Y")</f>
        <v>6</v>
      </c>
      <c r="M75" s="28">
        <f>COUNTIFS('Data - Taxa'!$B$3:$B$169, "Sponges", 'Data - Taxa'!$AK$3:$AK$169, "Y",'Data - Taxa'!BJ3:BJ169,"Y")</f>
        <v>0</v>
      </c>
      <c r="N75" s="28">
        <f>COUNTIFS('Data - Taxa'!$B$3:$B$169, "Tetraradialomorpha", 'Data - Taxa'!$AK$3:$AK$169, "Y",'Data - Taxa'!BJ3:BJ169,"Y")</f>
        <v>0</v>
      </c>
      <c r="O75" s="28">
        <f>COUNTIFS('Data - Taxa'!$B$3:$B$169, "Triradialomorpha", 'Data - Taxa'!$AK$3:$AK$169, "Y",'Data - Taxa'!BJ3:BJ169,"Y")</f>
        <v>0</v>
      </c>
      <c r="P75" s="28">
        <f>COUNTIFS('Data - Taxa'!$B$3:$B$169, "Tubular", 'Data - Taxa'!$AK$3:$AK$169, "Y",'Data - Taxa'!BJ3:BJ169,"Y")</f>
        <v>2</v>
      </c>
      <c r="Q75" s="28">
        <f>COUNTIFS('Data - Taxa'!$B$3:$B$169, "Tunicate", 'Data - Taxa'!$AK$3:$AK$169, "Y",'Data - Taxa'!BJ3:BJ169,"Y")</f>
        <v>0</v>
      </c>
      <c r="R75" s="28">
        <f>COUNTIFS('Data - Taxa'!$B$3:$B$169, "Miscellaneous", 'Data - Taxa'!$AK$3:$AK$169, "Y",'Data - Taxa'!BJ3:BJ169,"Y")+1</f>
        <v>3</v>
      </c>
    </row>
    <row r="76" spans="1:20" x14ac:dyDescent="0.35">
      <c r="A76" s="60">
        <v>545</v>
      </c>
      <c r="B76" s="28">
        <f>COUNTIFS('Data - Taxa'!$B$3:$B$169, "Algal", 'Data - Taxa'!$AL$3:$AL$169, "Y",'Data - Taxa'!BJ3:BJ169,"Y")</f>
        <v>2</v>
      </c>
      <c r="C76" s="28">
        <f>COUNTIFS('Data - Taxa'!$B$3:$B$169, "Arboreomorpha", 'Data - Taxa'!$AL$3:$AL$169, "Y",'Data - Taxa'!BJ3:BJ169,"Y")</f>
        <v>1</v>
      </c>
      <c r="D76" s="28">
        <f>COUNTIFS('Data - Taxa'!$B$3:$B$169, "Bilateralomorpha", 'Data - Taxa'!$AL$3:$AL$169, "Y",'Data - Taxa'!BJ3:BJ169,"Y")</f>
        <v>1</v>
      </c>
      <c r="E76" s="28">
        <f>COUNTIFS('Data - Taxa'!$B$3:$B$169, "Cnidarian", 'Data - Taxa'!$AL$3:$AL$169, "Y",'Data - Taxa'!BJ3:BJ169,"Y")</f>
        <v>2</v>
      </c>
      <c r="F76" s="28">
        <f>COUNTIFS('Data - Taxa'!$B$3:$B$169, "Dickinsoniomorpha", 'Data - Taxa'!$AL$3:$AL$169, "Y",'Data - Taxa'!BJ3:BJ169,"Y")</f>
        <v>0</v>
      </c>
      <c r="G76" s="28">
        <f>COUNTIFS('Data - Taxa'!$B$3:$B$169, "Complex discoidal", 'Data - Taxa'!$AL$3:$AL$169, "Y",'Data - Taxa'!BJ3:BJ169,"Y")</f>
        <v>1</v>
      </c>
      <c r="H76" s="28">
        <f>COUNTIFS('Data - Taxa'!$B$3:$B$169, "Erniettomorpha", 'Data - Taxa'!$AL$3:$AL$169, "Y",'Data - Taxa'!BJ3:BJ169,"Y")</f>
        <v>4</v>
      </c>
      <c r="I76" s="28">
        <f>COUNTIFS('Data - Taxa'!$B$3:$B$169, "Kimberellamorpha", 'Data - Taxa'!$AL$3:$AL$169, "Y",'Data - Taxa'!BJ3:BJ169,"Y")</f>
        <v>0</v>
      </c>
      <c r="J76" s="28">
        <f>COUNTIFS('Data - Taxa'!$B$3:$B$169, "Pentaradialomorpha", 'Data - Taxa'!$AL$3:$AL$169, "Y",'Data - Taxa'!BJ3:BJ169,"Y")</f>
        <v>0</v>
      </c>
      <c r="K76" s="28">
        <f>COUNTIFS('Data - Taxa'!$B$3:$B$169, "Protist", 'Data - Taxa'!$AL$3:$AL$169, "Y",'Data - Taxa'!BJ3:BJ169,"Y")</f>
        <v>3</v>
      </c>
      <c r="L76" s="28">
        <f>COUNTIFS('Data - Taxa'!$B$3:$B$169, "Rangeomorpha", 'Data - Taxa'!$AL$3:$AL$169, "Y",'Data - Taxa'!BJ3:BJ169,"Y")</f>
        <v>2</v>
      </c>
      <c r="M76" s="28">
        <f>COUNTIFS('Data - Taxa'!$B$3:$B$169, "Sponges", 'Data - Taxa'!$AL$3:$AL$169, "Y",'Data - Taxa'!BJ3:BJ169,"Y")</f>
        <v>0</v>
      </c>
      <c r="N76" s="28">
        <f>COUNTIFS('Data - Taxa'!$B$3:$B$169, "Tetraradialomorpha", 'Data - Taxa'!$AL$3:$AL$169, "Y",'Data - Taxa'!BJ3:BJ169,"Y")</f>
        <v>0</v>
      </c>
      <c r="O76" s="28">
        <f>COUNTIFS('Data - Taxa'!$B$3:$B$169, "Triradialomorpha", 'Data - Taxa'!$AL$3:$AL$169, "Y",'Data - Taxa'!BJ3:BJ169,"Y")</f>
        <v>0</v>
      </c>
      <c r="P76" s="28">
        <f>COUNTIFS('Data - Taxa'!$B$3:$B$169, "Tubular", 'Data - Taxa'!$AL$3:$AL$169, "Y",'Data - Taxa'!BJ3:BJ169,"Y")</f>
        <v>8</v>
      </c>
      <c r="Q76" s="28">
        <f>COUNTIFS('Data - Taxa'!$B$3:$B$169, "Tunicate", 'Data - Taxa'!$AL$3:$AL$169, "Y",'Data - Taxa'!BJ3:BJ169,"Y")</f>
        <v>0</v>
      </c>
      <c r="R76" s="28">
        <f>COUNTIFS('Data - Taxa'!$B$3:$B$169, "Miscellaneous", 'Data - Taxa'!$AL$3:$AL$169, "Y",'Data - Taxa'!BJ3:BJ169,"Y")</f>
        <v>4</v>
      </c>
    </row>
    <row r="78" spans="1:20" x14ac:dyDescent="0.35">
      <c r="A78" s="28" t="s">
        <v>537</v>
      </c>
    </row>
    <row r="79" spans="1:20" x14ac:dyDescent="0.35">
      <c r="A79" s="51" t="s">
        <v>164</v>
      </c>
      <c r="B79" s="52" t="s">
        <v>12</v>
      </c>
      <c r="C79" s="52" t="s">
        <v>173</v>
      </c>
      <c r="D79" s="52" t="s">
        <v>218</v>
      </c>
      <c r="E79" s="52" t="s">
        <v>232</v>
      </c>
      <c r="F79" s="52" t="s">
        <v>54</v>
      </c>
      <c r="G79" s="52" t="s">
        <v>217</v>
      </c>
      <c r="H79" s="52" t="s">
        <v>14</v>
      </c>
      <c r="I79" s="52" t="s">
        <v>46</v>
      </c>
      <c r="J79"/>
    </row>
    <row r="80" spans="1:20" x14ac:dyDescent="0.35">
      <c r="A80" s="60">
        <v>585</v>
      </c>
      <c r="B80" s="28">
        <f>COUNTIFS('Data - Taxa'!AS3:AS169, "Y",'Data - Taxa'!$AH3:$AH169,"Y",'Data - Taxa'!BV3:BV169,"Y")</f>
        <v>4</v>
      </c>
      <c r="C80" s="28">
        <f>COUNTIFS('Data - Taxa'!AT3:AT169, "Y",'Data - Taxa'!$AH3:$AH169,"Y",'Data - Taxa'!BV3:BV169,"Y")</f>
        <v>0</v>
      </c>
      <c r="D80" s="28">
        <f>COUNTIFS('Data - Taxa'!AW3:AW169, "Y",'Data - Taxa'!$AH3:$AH169,"Y",'Data - Taxa'!BV3:BV169,"Y")</f>
        <v>0</v>
      </c>
      <c r="E80" s="28">
        <f>COUNTIFS('Data - Taxa'!AV3:AV169, "Y",'Data - Taxa'!$AH3:$AH169,"Y",'Data - Taxa'!BV3:BV169,"Y")</f>
        <v>0</v>
      </c>
      <c r="F80" s="28">
        <f>COUNTIFS('Data - Taxa'!AX3:AX169, "Y",'Data - Taxa'!$AH3:$AH169,"Y",'Data - Taxa'!BV3:BV169,"Y")</f>
        <v>3</v>
      </c>
      <c r="G80" s="28">
        <f>COUNTIFS('Data - Taxa'!AU3:AU169, "Y",'Data - Taxa'!$AH3:$AH169,"Y",'Data - Taxa'!BV3:BV169,"Y")</f>
        <v>0</v>
      </c>
      <c r="H80" s="28">
        <f>COUNTIFS('Data - Taxa'!AY3:AY169, "Y",'Data - Taxa'!$AH3:$AH169,"Y",'Data - Taxa'!BV3:BV169,"Y")</f>
        <v>0</v>
      </c>
      <c r="I80" s="28">
        <f>COUNTIFS('Data - Taxa'!AZ3:AZ169, "Y",'Data - Taxa'!$AH3:$AH169,"Y",'Data - Taxa'!BV3:BV169,"Y")</f>
        <v>3</v>
      </c>
    </row>
    <row r="81" spans="1:20" x14ac:dyDescent="0.35">
      <c r="A81" s="60">
        <v>575</v>
      </c>
      <c r="B81" s="28">
        <f>COUNTIFS('Data - Taxa'!AS3:AS169, "Y",'Data - Taxa'!$AI3:$AI169,"Y",'Data - Taxa'!BV3:BV169,"Y")</f>
        <v>0</v>
      </c>
      <c r="C81" s="28">
        <f>COUNTIFS('Data - Taxa'!AT3:AT169, "Y",'Data - Taxa'!$AI3:$AI169,"Y",'Data - Taxa'!BV3:BV169,"Y")</f>
        <v>0</v>
      </c>
      <c r="D81" s="28">
        <f>COUNTIFS('Data - Taxa'!AW3:AW169, "Y",'Data - Taxa'!$AI3:$AI169,"Y",'Data - Taxa'!BV3:BV169,"Y")</f>
        <v>0</v>
      </c>
      <c r="E81" s="28">
        <f>COUNTIFS('Data - Taxa'!AV3:AV169, "Y",'Data - Taxa'!$AI3:$AI169,"Y",'Data - Taxa'!BV3:BV169,"Y")</f>
        <v>6</v>
      </c>
      <c r="F81" s="28">
        <f>COUNTIFS('Data - Taxa'!AX3:AX169, "Y",'Data - Taxa'!$AI3:$AI169,"Y",'Data - Taxa'!BV3:BV169,"Y")</f>
        <v>1</v>
      </c>
      <c r="G81" s="28">
        <f>COUNTIFS('Data - Taxa'!AU3:AU169, "Y",'Data - Taxa'!$AI3:$AI169,"Y",'Data - Taxa'!BV3:BV169,"Y")</f>
        <v>0</v>
      </c>
      <c r="H81" s="28">
        <f>COUNTIFS('Data - Taxa'!AY3:AY169, "Y",'Data - Taxa'!$AI3:$AI169,"Y",'Data - Taxa'!BV3:BV169,"Y")</f>
        <v>0</v>
      </c>
      <c r="I81" s="28">
        <f>COUNTIFS('Data - Taxa'!AZ3:AZ169, "Y",'Data - Taxa'!$AI3:$AI169,"Y",'Data - Taxa'!BV3:BV169,"Y")</f>
        <v>1</v>
      </c>
    </row>
    <row r="82" spans="1:20" x14ac:dyDescent="0.35">
      <c r="A82" s="60">
        <v>565</v>
      </c>
      <c r="B82" s="28">
        <f>COUNTIFS('Data - Taxa'!AS3:AS169, "Y",'Data - Taxa'!$AJ3:$AJ169,"Y",'Data - Taxa'!BV3:BV169,"Y")</f>
        <v>0</v>
      </c>
      <c r="C82" s="28">
        <f>COUNTIFS('Data - Taxa'!AT3:AT169, "Y",'Data - Taxa'!$AJ3:$AJ169,"Y",'Data - Taxa'!BV3:BV169,"Y")</f>
        <v>0</v>
      </c>
      <c r="D82" s="28">
        <f>COUNTIFS('Data - Taxa'!AW3:AW169, "Y",'Data - Taxa'!$AJ3:$AJ169,"Y",'Data - Taxa'!BV3:BV169,"Y")</f>
        <v>0</v>
      </c>
      <c r="E82" s="28">
        <f>COUNTIFS('Data - Taxa'!AV3:AV169, "Y",'Data - Taxa'!$AJ3:$AJ169,"Y",'Data - Taxa'!BV3:BV169,"Y")</f>
        <v>7</v>
      </c>
      <c r="F82" s="28">
        <f>COUNTIFS('Data - Taxa'!AX3:AX169, "Y",'Data - Taxa'!$AJ3:$AJ169,"Y",'Data - Taxa'!BV3:BV169,"Y")</f>
        <v>1</v>
      </c>
      <c r="G82" s="28">
        <f>COUNTIFS('Data - Taxa'!AU3:AU169, "Y",'Data - Taxa'!$AJ3:$AJ169,"Y",'Data - Taxa'!BV3:BV169,"Y")</f>
        <v>0</v>
      </c>
      <c r="H82" s="28">
        <f>COUNTIFS('Data - Taxa'!AY3:AY169, "Y",'Data - Taxa'!$AJ3:$AJ169,"Y",'Data - Taxa'!BV3:BV169,"Y")</f>
        <v>0</v>
      </c>
      <c r="I82" s="28">
        <f>COUNTIFS('Data - Taxa'!AZ3:AZ169, "Y",'Data - Taxa'!$AJ3:$AJ169,"Y",'Data - Taxa'!BV3:BV169,"Y")</f>
        <v>0</v>
      </c>
    </row>
    <row r="83" spans="1:20" x14ac:dyDescent="0.35">
      <c r="A83" s="60">
        <v>555</v>
      </c>
      <c r="B83" s="28">
        <f>COUNTIFS('Data - Taxa'!AS3:AS169, "Y",'Data - Taxa'!$AK3:$AK169,"Y",'Data - Taxa'!BV3:BV169,"Y")</f>
        <v>14</v>
      </c>
      <c r="C83" s="28">
        <f>COUNTIFS('Data - Taxa'!AT3:AT169, "Y",'Data - Taxa'!$AK3:$AK169,"Y",'Data - Taxa'!BV3:BV169,"Y")</f>
        <v>11</v>
      </c>
      <c r="D83" s="28">
        <f>COUNTIFS('Data - Taxa'!AW3:AW169, "Y",'Data - Taxa'!$AK3:$AK169,"Y",'Data - Taxa'!BV3:BV169,"Y")</f>
        <v>2</v>
      </c>
      <c r="E83" s="28">
        <f>COUNTIFS('Data - Taxa'!AV3:AV169, "Y",'Data - Taxa'!$AK3:$AK169,"Y",'Data - Taxa'!BV3:BV169,"Y")</f>
        <v>11</v>
      </c>
      <c r="F83" s="28">
        <f>COUNTIFS('Data - Taxa'!AX3:AX169, "Y",'Data - Taxa'!$AK3:$AK169,"Y",'Data - Taxa'!BV3:BV169,"Y")</f>
        <v>2</v>
      </c>
      <c r="G83" s="28">
        <f>COUNTIFS('Data - Taxa'!AU3:AU169, "Y",'Data - Taxa'!$AK3:$AK169,"Y",'Data - Taxa'!BV3:BV169,"Y")</f>
        <v>10</v>
      </c>
      <c r="H83" s="28">
        <f>COUNTIFS('Data - Taxa'!AY3:AY169, "Y",'Data - Taxa'!$AK3:$AK169,"Y",'Data - Taxa'!BV3:BV169,"Y")</f>
        <v>10</v>
      </c>
      <c r="I83" s="28">
        <f>COUNTIFS('Data - Taxa'!AZ3:AZ169, "Y",'Data - Taxa'!$AK3:$AK169,"Y",'Data - Taxa'!BV3:BV169,"Y")</f>
        <v>15</v>
      </c>
    </row>
    <row r="84" spans="1:20" x14ac:dyDescent="0.35">
      <c r="A84" s="60">
        <v>545</v>
      </c>
      <c r="B84" s="28">
        <f>COUNTIFS('Data - Taxa'!AS3:AS169, "Y",'Data - Taxa'!$AL3:$AL169,"Y",'Data - Taxa'!BV3:BV169,"Y")</f>
        <v>6</v>
      </c>
      <c r="C84" s="28">
        <f>COUNTIFS('Data - Taxa'!AT3:AT169, "Y",'Data - Taxa'!$AL3:$AL169,"Y",'Data - Taxa'!BV3:BV169,"Y")</f>
        <v>4</v>
      </c>
      <c r="D84" s="28">
        <f>COUNTIFS('Data - Taxa'!AW3:AW169, "Y",'Data - Taxa'!$AL3:$AL169,"Y",'Data - Taxa'!BV3:BV169,"Y")</f>
        <v>4</v>
      </c>
      <c r="E84" s="28">
        <f>COUNTIFS('Data - Taxa'!AV3:AV169, "Y",'Data - Taxa'!$AL3:$AL169,"Y",'Data - Taxa'!BV3:BV169,"Y")</f>
        <v>6</v>
      </c>
      <c r="F84" s="28">
        <f>COUNTIFS('Data - Taxa'!AX3:AX169, "Y",'Data - Taxa'!$AL3:$AL169,"Y",'Data - Taxa'!BV3:BV169,"Y")</f>
        <v>3</v>
      </c>
      <c r="G84" s="28">
        <f>COUNTIFS('Data - Taxa'!AU3:AU169, "Y",'Data - Taxa'!$AL3:$AL169,"Y",'Data - Taxa'!BV3:BV169,"Y")</f>
        <v>6</v>
      </c>
      <c r="H84" s="28">
        <f>COUNTIFS('Data - Taxa'!AY3:AY169, "Y",'Data - Taxa'!$AL3:$AL169,"Y",'Data - Taxa'!BV3:BV169,"Y")</f>
        <v>18</v>
      </c>
      <c r="I84" s="28">
        <f>COUNTIFS('Data - Taxa'!AZ3:AZ169, "Y",'Data - Taxa'!$AL3:$AL169,"Y",'Data - Taxa'!BV3:BV169,"Y")</f>
        <v>9</v>
      </c>
    </row>
    <row r="85" spans="1:20" x14ac:dyDescent="0.35">
      <c r="A85" s="28" t="s">
        <v>538</v>
      </c>
    </row>
    <row r="86" spans="1:20" x14ac:dyDescent="0.35">
      <c r="A86" s="51" t="s">
        <v>164</v>
      </c>
      <c r="B86" s="52" t="s">
        <v>12</v>
      </c>
      <c r="C86" s="52" t="s">
        <v>173</v>
      </c>
      <c r="D86" s="52" t="s">
        <v>218</v>
      </c>
      <c r="E86" s="52" t="s">
        <v>232</v>
      </c>
      <c r="F86" s="52" t="s">
        <v>54</v>
      </c>
      <c r="G86" s="52" t="s">
        <v>217</v>
      </c>
      <c r="H86" s="52" t="s">
        <v>14</v>
      </c>
      <c r="I86" s="52" t="s">
        <v>46</v>
      </c>
      <c r="J86"/>
    </row>
    <row r="87" spans="1:20" x14ac:dyDescent="0.35">
      <c r="A87" s="60">
        <v>585</v>
      </c>
      <c r="B87" s="28">
        <f>COUNTIFS('Data - Taxa'!AS3:AS169, "Y",'Data - Taxa'!$AH3:$AH169,"Y",'Data - Taxa'!BU3:BU169,"Y")</f>
        <v>0</v>
      </c>
      <c r="C87" s="28">
        <f>COUNTIFS('Data - Taxa'!AT3:AT169, "Y",'Data - Taxa'!$AH3:$AH169,"Y",'Data - Taxa'!BU3:BU169,"Y")</f>
        <v>0</v>
      </c>
      <c r="D87" s="28">
        <f>COUNTIFS('Data - Taxa'!AW3:AW169, "Y",'Data - Taxa'!$AH3:$AH169,"Y",'Data - Taxa'!BU3:BU169,"Y")</f>
        <v>0</v>
      </c>
      <c r="E87" s="28">
        <f>COUNTIFS('Data - Taxa'!AV3:AV169, "Y",'Data - Taxa'!$AH3:$AH169,"Y",'Data - Taxa'!BU3:BU169,"Y")</f>
        <v>0</v>
      </c>
      <c r="F87" s="28">
        <f>COUNTIFS('Data - Taxa'!AX3:AX169, "Y",'Data - Taxa'!$AH3:$AH169,"Y",'Data - Taxa'!BU3:BU169,"Y")</f>
        <v>2</v>
      </c>
      <c r="G87" s="28">
        <f>COUNTIFS('Data - Taxa'!AU3:AU169, "Y",'Data - Taxa'!$AH3:$AH169,"Y",'Data - Taxa'!BU3:BU169,"Y")</f>
        <v>0</v>
      </c>
      <c r="H87" s="28">
        <f>COUNTIFS('Data - Taxa'!AY3:AY169, "Y",'Data - Taxa'!$AH3:$AH169,"Y",'Data - Taxa'!BU3:BU169,"Y")</f>
        <v>0</v>
      </c>
      <c r="I87" s="28">
        <f>COUNTIFS('Data - Taxa'!AZ3:AZ169, "Y",'Data - Taxa'!$AH3:$AH169,"Y",'Data - Taxa'!BU3:BU169,"Y")</f>
        <v>0</v>
      </c>
    </row>
    <row r="88" spans="1:20" x14ac:dyDescent="0.35">
      <c r="A88" s="60">
        <v>575</v>
      </c>
      <c r="B88" s="28">
        <f>COUNTIFS('Data - Taxa'!AS3:AS169, "Y",'Data - Taxa'!$AI3:$AI169,"Y",'Data - Taxa'!BU3:BU169,"Y")</f>
        <v>0</v>
      </c>
      <c r="C88" s="28">
        <f>COUNTIFS('Data - Taxa'!AT3:AT169, "Y",'Data - Taxa'!$AI3:$AI169,"Y",'Data - Taxa'!BU3:BU169,"Y")</f>
        <v>0</v>
      </c>
      <c r="D88" s="28">
        <f>COUNTIFS('Data - Taxa'!AW3:AW169, "Y",'Data - Taxa'!$AI3:$AI169,"Y",'Data - Taxa'!BU3:BU169,"Y")</f>
        <v>0</v>
      </c>
      <c r="E88" s="28">
        <f>COUNTIFS('Data - Taxa'!AV3:AV169, "Y",'Data - Taxa'!$AI3:$AI169,"Y",'Data - Taxa'!BU3:BU169,"Y")</f>
        <v>8</v>
      </c>
      <c r="F88" s="28">
        <f>COUNTIFS('Data - Taxa'!AX3:AX169, "Y",'Data - Taxa'!$AI3:$AI169,"Y",'Data - Taxa'!BU3:BU169,"Y")</f>
        <v>1</v>
      </c>
      <c r="G88" s="28">
        <f>COUNTIFS('Data - Taxa'!AU3:AU169, "Y",'Data - Taxa'!$AI3:$AI169,"Y",'Data - Taxa'!BU3:BU169,"Y")</f>
        <v>0</v>
      </c>
      <c r="H88" s="28">
        <f>COUNTIFS('Data - Taxa'!AY3:AY169, "Y",'Data - Taxa'!$AI3:$AI169,"Y",'Data - Taxa'!BU3:BU169,"Y")</f>
        <v>3</v>
      </c>
      <c r="I88" s="28">
        <f>COUNTIFS('Data - Taxa'!AZ3:AZ169, "Y",'Data - Taxa'!$AI3:$AI169,"Y",'Data - Taxa'!BU3:BU169,"Y")</f>
        <v>1</v>
      </c>
    </row>
    <row r="89" spans="1:20" x14ac:dyDescent="0.35">
      <c r="A89" s="60">
        <v>565</v>
      </c>
      <c r="B89" s="28">
        <f>COUNTIFS('Data - Taxa'!AS3:AS169, "Y",'Data - Taxa'!$AJ3:$AJ169,"Y",'Data - Taxa'!BU3:BU169,"Y")</f>
        <v>0</v>
      </c>
      <c r="C89" s="28">
        <f>COUNTIFS('Data - Taxa'!AT3:AT169, "Y",'Data - Taxa'!$AJ3:$AJ169,"Y",'Data - Taxa'!BU3:BU169,"Y")</f>
        <v>0</v>
      </c>
      <c r="D89" s="28">
        <f>COUNTIFS('Data - Taxa'!AW3:AW169, "Y",'Data - Taxa'!$AJ3:$AJ169,"Y",'Data - Taxa'!BU3:BU169,"Y")</f>
        <v>0</v>
      </c>
      <c r="E89" s="28">
        <f>COUNTIFS('Data - Taxa'!AV3:AV169, "Y",'Data - Taxa'!$AJ3:$AJ169,"Y",'Data - Taxa'!BU3:BU169,"Y")</f>
        <v>18</v>
      </c>
      <c r="F89" s="28">
        <f>COUNTIFS('Data - Taxa'!AX3:AX169, "Y",'Data - Taxa'!$AJ3:$AJ169,"Y",'Data - Taxa'!BU3:BU169,"Y")</f>
        <v>2</v>
      </c>
      <c r="G89" s="28">
        <f>COUNTIFS('Data - Taxa'!AU3:AU169, "Y",'Data - Taxa'!$AJ3:$AJ169,"Y",'Data - Taxa'!BU3:BU169,"Y")</f>
        <v>1</v>
      </c>
      <c r="H89" s="28">
        <f>COUNTIFS('Data - Taxa'!AY3:AY169, "Y",'Data - Taxa'!$AJ3:$AJ169,"Y",'Data - Taxa'!BU3:BU169,"Y")</f>
        <v>0</v>
      </c>
      <c r="I89" s="28">
        <f>COUNTIFS('Data - Taxa'!AZ3:AZ169, "Y",'Data - Taxa'!$AJ3:$AJ169,"Y",'Data - Taxa'!BU3:BU169,"Y")</f>
        <v>4</v>
      </c>
    </row>
    <row r="90" spans="1:20" x14ac:dyDescent="0.35">
      <c r="A90" s="60">
        <v>555</v>
      </c>
      <c r="B90" s="28">
        <f>COUNTIFS('Data - Taxa'!AS3:AS169, "Y",'Data - Taxa'!$AK3:$AK169,"Y",'Data - Taxa'!BU3:BU169,"Y")</f>
        <v>5</v>
      </c>
      <c r="C90" s="28">
        <f>COUNTIFS('Data - Taxa'!AT3:AT169, "Y",'Data - Taxa'!$AK3:$AK169,"Y",'Data - Taxa'!BU3:BU169,"Y")</f>
        <v>19</v>
      </c>
      <c r="D90" s="28">
        <f>COUNTIFS('Data - Taxa'!AW3:AW169, "Y",'Data - Taxa'!$AK3:$AK169,"Y",'Data - Taxa'!BU3:BU169,"Y")</f>
        <v>3</v>
      </c>
      <c r="E90" s="28">
        <f>COUNTIFS('Data - Taxa'!AV3:AV169, "Y",'Data - Taxa'!$AK3:$AK169,"Y",'Data - Taxa'!BU3:BU169,"Y")</f>
        <v>11</v>
      </c>
      <c r="F90" s="28">
        <f>COUNTIFS('Data - Taxa'!AX3:AX169, "Y",'Data - Taxa'!$AK3:$AK169,"Y",'Data - Taxa'!BU3:BU169,"Y")</f>
        <v>3</v>
      </c>
      <c r="G90" s="28">
        <f>COUNTIFS('Data - Taxa'!AU3:AU169, "Y",'Data - Taxa'!$AK3:$AK169,"Y",'Data - Taxa'!BU3:BU169,"Y")</f>
        <v>7</v>
      </c>
      <c r="H90" s="28">
        <f>COUNTIFS('Data - Taxa'!AY3:AY169, "Y",'Data - Taxa'!$AK3:$AK169,"Y",'Data - Taxa'!BU3:BU169,"Y")</f>
        <v>4</v>
      </c>
      <c r="I90" s="28">
        <f>COUNTIFS('Data - Taxa'!AZ3:AZ169, "Y",'Data - Taxa'!$AK3:$AK169,"Y",'Data - Taxa'!BU3:BU169,"Y")</f>
        <v>23</v>
      </c>
    </row>
    <row r="91" spans="1:20" x14ac:dyDescent="0.35">
      <c r="A91" s="60">
        <v>545</v>
      </c>
      <c r="B91" s="28">
        <f>COUNTIFS('Data - Taxa'!AS3:AS169, "Y",'Data - Taxa'!$AL3:$AL169,"Y",'Data - Taxa'!BU3:BU169,"Y")</f>
        <v>3</v>
      </c>
      <c r="C91" s="28">
        <f>COUNTIFS('Data - Taxa'!AT3:AT169, "Y",'Data - Taxa'!$AL3:$AL169,"Y",'Data - Taxa'!BU3:BU169,"Y")</f>
        <v>3</v>
      </c>
      <c r="D91" s="28">
        <f>COUNTIFS('Data - Taxa'!AW3:AW169, "Y",'Data - Taxa'!$AL3:$AL169,"Y",'Data - Taxa'!BU3:BU169,"Y")</f>
        <v>3</v>
      </c>
      <c r="E91" s="28">
        <f>COUNTIFS('Data - Taxa'!AV3:AV169, "Y",'Data - Taxa'!$AL3:$AL169,"Y",'Data - Taxa'!BU3:BU169,"Y")</f>
        <v>4</v>
      </c>
      <c r="F91" s="28">
        <f>COUNTIFS('Data - Taxa'!AX3:AX169, "Y",'Data - Taxa'!$AL3:$AL169,"Y",'Data - Taxa'!BU3:BU169,"Y")</f>
        <v>3</v>
      </c>
      <c r="G91" s="28">
        <f>COUNTIFS('Data - Taxa'!AU3:AU169, "Y",'Data - Taxa'!$AL3:$AL169,"Y",'Data - Taxa'!BU3:BU169,"Y")</f>
        <v>3</v>
      </c>
      <c r="H91" s="28">
        <f>COUNTIFS('Data - Taxa'!AY3:AY169, "Y",'Data - Taxa'!$AL3:$AL169,"Y",'Data - Taxa'!BU3:BU169,"Y")</f>
        <v>6</v>
      </c>
      <c r="I91" s="28">
        <f>COUNTIFS('Data - Taxa'!AZ3:AZ169, "Y",'Data - Taxa'!$AL3:$AL169,"Y",'Data - Taxa'!BU3:BU169,"Y")</f>
        <v>7</v>
      </c>
    </row>
    <row r="93" spans="1:20" x14ac:dyDescent="0.35">
      <c r="A93" s="28" t="s">
        <v>549</v>
      </c>
    </row>
    <row r="94" spans="1:20" x14ac:dyDescent="0.35">
      <c r="A94" s="51" t="s">
        <v>164</v>
      </c>
      <c r="B94" s="52" t="s">
        <v>12</v>
      </c>
      <c r="C94" s="52" t="s">
        <v>16</v>
      </c>
      <c r="D94" s="52" t="s">
        <v>18</v>
      </c>
      <c r="E94" s="52" t="s">
        <v>24</v>
      </c>
      <c r="F94" s="52" t="s">
        <v>9</v>
      </c>
      <c r="G94" s="52" t="s">
        <v>384</v>
      </c>
      <c r="H94" s="52" t="s">
        <v>62</v>
      </c>
      <c r="I94" s="52" t="s">
        <v>83</v>
      </c>
      <c r="J94" s="52" t="s">
        <v>22</v>
      </c>
      <c r="K94" s="52" t="s">
        <v>54</v>
      </c>
      <c r="L94" s="52" t="s">
        <v>30</v>
      </c>
      <c r="M94" s="52" t="s">
        <v>28</v>
      </c>
      <c r="N94" s="52" t="s">
        <v>49</v>
      </c>
      <c r="O94" s="52" t="s">
        <v>6</v>
      </c>
      <c r="P94" s="52" t="s">
        <v>14</v>
      </c>
      <c r="Q94" s="52" t="s">
        <v>157</v>
      </c>
      <c r="R94" s="52" t="s">
        <v>46</v>
      </c>
      <c r="S94"/>
      <c r="T94"/>
    </row>
    <row r="95" spans="1:20" x14ac:dyDescent="0.35">
      <c r="A95" s="60">
        <v>585</v>
      </c>
      <c r="B95" s="28">
        <f>COUNTIFS('Data - Taxa'!$B$3:$B$169, "Algal", 'Data - Taxa'!$AH$3:$AH$169, "Y",'Data - Taxa'!BV3:BV169,"Y")</f>
        <v>4</v>
      </c>
      <c r="C95" s="28">
        <f>COUNTIFS('Data - Taxa'!$B$3:$B$169, "Arboreomorpha", 'Data - Taxa'!$AH$3:$AH$169, "Y",'Data - Taxa'!BV3:BV169,"Y")</f>
        <v>0</v>
      </c>
      <c r="D95" s="28">
        <f>COUNTIFS('Data - Taxa'!$B$3:$B$169, "Bilateralomorpha", 'Data - Taxa'!$AH$3:$AH$169, "Y",'Data - Taxa'!BV3:BV169,"Y")</f>
        <v>0</v>
      </c>
      <c r="E95" s="28">
        <f>COUNTIFS('Data - Taxa'!$B$3:$B$169, "Cnidarian", 'Data - Taxa'!$AH$3:$AH$169, "Y",'Data - Taxa'!BV3:BV169,"Y")</f>
        <v>0</v>
      </c>
      <c r="F95" s="28">
        <f>COUNTIFS('Data - Taxa'!$B$3:$B$169, "Dickinsoniomorpha", 'Data - Taxa'!$AH$3:$AH$169, "Y",'Data - Taxa'!BV3:BV169,"Y")</f>
        <v>0</v>
      </c>
      <c r="G95" s="28">
        <f>COUNTIFS('Data - Taxa'!$B$3:$B$169, "Complex discoidal", 'Data - Taxa'!$AH$3:$AH$169, "Y",'Data - Taxa'!BV3:BV169,"Y")</f>
        <v>0</v>
      </c>
      <c r="H95" s="28">
        <f>COUNTIFS('Data - Taxa'!$B$3:$B$169, "Erniettomorpha", 'Data - Taxa'!$AH$3:$AH$169, "Y",'Data - Taxa'!BV3:BV169,"Y")</f>
        <v>0</v>
      </c>
      <c r="I95" s="28">
        <f>COUNTIFS('Data - Taxa'!$B$3:$B$169, "Kimberellamorpha", 'Data - Taxa'!$AH$3:$AH$169, "Y",'Data - Taxa'!BV3:BV169,"Y")</f>
        <v>0</v>
      </c>
      <c r="J95" s="28">
        <f>COUNTIFS('Data - Taxa'!$B$3:$B$169, "Pentaradialomorpha", 'Data - Taxa'!$AH$3:$AH$169, "Y",'Data - Taxa'!BV3:BV169,"Y")</f>
        <v>0</v>
      </c>
      <c r="K95" s="28">
        <f>COUNTIFS('Data - Taxa'!$B$3:$B$169, "Protist", 'Data - Taxa'!$AH$3:$AH$169, "Y",'Data - Taxa'!BV3:BV169,"Y")</f>
        <v>3</v>
      </c>
      <c r="L95" s="28">
        <f>COUNTIFS('Data - Taxa'!$B$3:$B$169, "Rangeomorpha", 'Data - Taxa'!$AH$3:$AH$169, "Y",'Data - Taxa'!BV3:BV169,"Y")</f>
        <v>0</v>
      </c>
      <c r="M95" s="28">
        <f>COUNTIFS('Data - Taxa'!$B$3:$B$169, "Sponges", 'Data - Taxa'!$AH$3:$AH$169, "Y",'Data - Taxa'!BV3:BV169,"Y")</f>
        <v>0</v>
      </c>
      <c r="N95" s="28">
        <f>COUNTIFS('Data - Taxa'!$B$3:$B$169, "Tetraradialomorpha", 'Data - Taxa'!$AH$3:$AH$169, "Y",'Data - Taxa'!BV3:BV169,"Y")</f>
        <v>0</v>
      </c>
      <c r="O95" s="28">
        <f>COUNTIFS('Data - Taxa'!$B$3:$B$169, "Triradialomorpha", 'Data - Taxa'!$AH$3:$AH$169, "Y",'Data - Taxa'!BV3:BV169,"Y")</f>
        <v>0</v>
      </c>
      <c r="P95" s="28">
        <f>COUNTIFS('Data - Taxa'!$B$3:$B$169, "Tubular", 'Data - Taxa'!$AH$3:$AH$169, "Y",'Data - Taxa'!BV3:BV169,"Y")</f>
        <v>0</v>
      </c>
      <c r="Q95" s="28">
        <f>COUNTIFS('Data - Taxa'!$B$3:$B$169, "Tunicate", 'Data - Taxa'!$AH$3:$AH$169, "Y",'Data - Taxa'!BV3:BV169,"Y")</f>
        <v>0</v>
      </c>
      <c r="R95" s="28">
        <f>COUNTIFS('Data - Taxa'!$B$3:$B$169, "Miscellaneous", 'Data - Taxa'!$AH$3:$AH$169, "Y",'Data - Taxa'!BV3:BV169,"Y")</f>
        <v>3</v>
      </c>
    </row>
    <row r="96" spans="1:20" x14ac:dyDescent="0.35">
      <c r="A96" s="60">
        <v>575</v>
      </c>
      <c r="B96" s="28">
        <f>COUNTIFS('Data - Taxa'!$B$3:$B$169, "Algal", 'Data - Taxa'!$AI$3:$AI$169, "Y",'Data - Taxa'!BV3:BV169,"Y")</f>
        <v>0</v>
      </c>
      <c r="C96" s="28">
        <f>COUNTIFS('Data - Taxa'!$B$3:$B$169, "Arboreomorpha", 'Data - Taxa'!$AI$3:$AI$169, "Y",'Data - Taxa'!BV3:BV169,"Y")</f>
        <v>1</v>
      </c>
      <c r="D96" s="28">
        <f>COUNTIFS('Data - Taxa'!$B$3:$B$169, "Bilateralomorpha", 'Data - Taxa'!$AI$3:$AI$169, "Y",'Data - Taxa'!BV3:BV169,"Y")</f>
        <v>0</v>
      </c>
      <c r="E96" s="28">
        <f>COUNTIFS('Data - Taxa'!$B$3:$B$169, "Cnidarian", 'Data - Taxa'!$AI$3:$AI$169, "Y",'Data - Taxa'!BV3:BV169,"Y")</f>
        <v>0</v>
      </c>
      <c r="F96" s="28">
        <f>COUNTIFS('Data - Taxa'!$B$3:$B$169, "Dickinsoniomorpha", 'Data - Taxa'!$AI$3:$AI$169, "Y",'Data - Taxa'!BV3:BV169,"Y")</f>
        <v>0</v>
      </c>
      <c r="G96" s="28">
        <f>COUNTIFS('Data - Taxa'!$B$3:$B$169, "Complex discoidal", 'Data - Taxa'!$AI$3:$AI$169, "Y",'Data - Taxa'!BV3:BV169,"Y")</f>
        <v>0</v>
      </c>
      <c r="H96" s="28">
        <f>COUNTIFS('Data - Taxa'!$B$3:$B$169, "Erniettomorpha", 'Data - Taxa'!$AI$3:$AI$169, "Y",'Data - Taxa'!BV3:BV169,"Y")</f>
        <v>0</v>
      </c>
      <c r="I96" s="28">
        <f>COUNTIFS('Data - Taxa'!$B$3:$B$169, "Kimberellamorpha", 'Data - Taxa'!$AI$3:$AI$169, "Y",'Data - Taxa'!BV3:BV169,"Y")</f>
        <v>0</v>
      </c>
      <c r="J96" s="28">
        <f>COUNTIFS('Data - Taxa'!$B$3:$B$169, "Pentaradialomorpha", 'Data - Taxa'!$AI$3:$AI$169, "Y",'Data - Taxa'!BV3:BV169,"Y")</f>
        <v>0</v>
      </c>
      <c r="K96" s="28">
        <f>COUNTIFS('Data - Taxa'!$B$3:$B$169, "Protist", 'Data - Taxa'!$AI$3:$AI$169, "Y",'Data - Taxa'!BV3:BV169,"Y")</f>
        <v>1</v>
      </c>
      <c r="L96" s="28">
        <f>COUNTIFS('Data - Taxa'!$B$3:$B$169, "Rangeomorpha", 'Data - Taxa'!$AI$3:$AI$169, "Y",'Data - Taxa'!BV3:BV169,"Y")</f>
        <v>5</v>
      </c>
      <c r="M96" s="28">
        <f>COUNTIFS('Data - Taxa'!$B$3:$B$169, "Sponges", 'Data - Taxa'!$AI$3:$AI$169, "Y",'Data - Taxa'!BV3:BV169,"Y")</f>
        <v>0</v>
      </c>
      <c r="N96" s="28">
        <f>COUNTIFS('Data - Taxa'!$B$3:$B$169, "Tetraradialomorpha", 'Data - Taxa'!$AI$3:$AI$169, "Y",'Data - Taxa'!BV3:BV169,"Y")</f>
        <v>0</v>
      </c>
      <c r="O96" s="28">
        <f>COUNTIFS('Data - Taxa'!$B$3:$B$169, "Triradialomorpha", 'Data - Taxa'!$AI$3:$AI$169, "Y",'Data - Taxa'!BV3:BV169,"Y")</f>
        <v>0</v>
      </c>
      <c r="P96" s="28">
        <f>COUNTIFS('Data - Taxa'!$B$3:$B$169, "Tubular", 'Data - Taxa'!$AI$3:$AI$169, "Y",'Data - Taxa'!BV3:BV169,"Y")</f>
        <v>0</v>
      </c>
      <c r="Q96" s="28">
        <f>COUNTIFS('Data - Taxa'!$B$3:$B$169, "Tunicate", 'Data - Taxa'!$AI$3:$AI$169, "Y",'Data - Taxa'!BV3:BV169,"Y")</f>
        <v>0</v>
      </c>
      <c r="R96" s="28">
        <f>COUNTIFS('Data - Taxa'!$B$3:$B$169, "Miscellaneous", 'Data - Taxa'!$AI$3:$AI$169, "Y",'Data - Taxa'!BV3:BV169,"Y")</f>
        <v>1</v>
      </c>
    </row>
    <row r="97" spans="1:20" x14ac:dyDescent="0.35">
      <c r="A97" s="60">
        <v>565</v>
      </c>
      <c r="B97" s="28">
        <f>COUNTIFS('Data - Taxa'!$B$3:$B$169, "Algal", 'Data - Taxa'!$AJ$3:$AJ$169, "Y",'Data - Taxa'!BV3:BV169,"Y")</f>
        <v>0</v>
      </c>
      <c r="C97" s="28">
        <f>COUNTIFS('Data - Taxa'!$B$3:$B$169, "Arboreomorpha", 'Data - Taxa'!$AJ$3:$AJ$169, "Y",'Data - Taxa'!BV3:BV169,"Y")</f>
        <v>2</v>
      </c>
      <c r="D97" s="28">
        <f>COUNTIFS('Data - Taxa'!$B$3:$B$169, "Bilateralomorpha", 'Data - Taxa'!$AJ$3:$AJ$169, "Y",'Data - Taxa'!BV3:BV169,"Y")</f>
        <v>0</v>
      </c>
      <c r="E97" s="28">
        <f>COUNTIFS('Data - Taxa'!$B$3:$B$169, "Cnidarian", 'Data - Taxa'!$AJ$3:$AJ$169, "Y",'Data - Taxa'!BV3:BV169,"Y")</f>
        <v>0</v>
      </c>
      <c r="F97" s="28">
        <f>COUNTIFS('Data - Taxa'!$B$3:$B$169, "Dickinsoniomorpha", 'Data - Taxa'!$AJ$3:$AJ$169, "Y",'Data - Taxa'!BV3:BV169,"Y")</f>
        <v>0</v>
      </c>
      <c r="G97" s="28">
        <f>COUNTIFS('Data - Taxa'!$B$3:$B$169, "Complex discoidal", 'Data - Taxa'!$AJ$3:$AJ$169, "Y",'Data - Taxa'!BV3:BV169,"Y")</f>
        <v>0</v>
      </c>
      <c r="H97" s="28">
        <f>COUNTIFS('Data - Taxa'!$B$3:$B$169, "Erniettomorpha", 'Data - Taxa'!$AJ$3:$AJ$169, "Y",'Data - Taxa'!BV3:BV169,"Y")</f>
        <v>0</v>
      </c>
      <c r="I97" s="28">
        <f>COUNTIFS('Data - Taxa'!$B$3:$B$169, "Kimberellamorpha", 'Data - Taxa'!$AJ$3:$AJ$169, "Y",'Data - Taxa'!BV3:BV169,"Y")</f>
        <v>0</v>
      </c>
      <c r="J97" s="28">
        <f>COUNTIFS('Data - Taxa'!$B$3:$B$169, "Pentaradialomorpha", 'Data - Taxa'!$AJ$3:$AJ$169, "Y",'Data - Taxa'!BV3:BV169,"Y")</f>
        <v>0</v>
      </c>
      <c r="K97" s="28">
        <f>COUNTIFS('Data - Taxa'!$B$3:$B$169, "Protist", 'Data - Taxa'!$AJ$3:$AJ$169, "Y",'Data - Taxa'!BV3:BV169,"Y")</f>
        <v>1</v>
      </c>
      <c r="L97" s="28">
        <f>COUNTIFS('Data - Taxa'!$B$3:$B$169, "Rangeomorpha", 'Data - Taxa'!$AJ$3:$AJ$169, "Y",'Data - Taxa'!BV3:BV169,"Y")</f>
        <v>5</v>
      </c>
      <c r="M97" s="28">
        <f>COUNTIFS('Data - Taxa'!$B$3:$B$169, "Sponges", 'Data - Taxa'!$AJ$3:$AJ$169, "Y",'Data - Taxa'!BV3:BV169,"Y")</f>
        <v>0</v>
      </c>
      <c r="N97" s="28">
        <f>COUNTIFS('Data - Taxa'!$B$3:$B$169, "Tetraradialomorpha", 'Data - Taxa'!$AJ$3:$AJ$169, "Y",'Data - Taxa'!BV3:BV169,"Y")</f>
        <v>0</v>
      </c>
      <c r="O97" s="28">
        <f>COUNTIFS('Data - Taxa'!$B$3:$B$169, "Triradialomorpha", 'Data - Taxa'!$AJ$3:$AJ$169, "Y",'Data - Taxa'!BV3:BV169,"Y")</f>
        <v>0</v>
      </c>
      <c r="P97" s="28">
        <f>COUNTIFS('Data - Taxa'!$B$3:$B$169, "Tubular", 'Data - Taxa'!$AJ$3:$AJ$169, "Y",'Data - Taxa'!BV3:BV169,"Y")</f>
        <v>0</v>
      </c>
      <c r="Q97" s="28">
        <f>COUNTIFS('Data - Taxa'!$B$3:$B$169, "Tunicate", 'Data - Taxa'!$AJ$3:$AJ$169, "Y",'Data - Taxa'!BV3:BV169,"Y")</f>
        <v>0</v>
      </c>
      <c r="R97" s="28">
        <f>COUNTIFS('Data - Taxa'!$B$3:$B$169, "Miscellaneous", 'Data - Taxa'!$AJ$3:$AJ$169, "Y",'Data - Taxa'!BV3:BV169,"Y")</f>
        <v>0</v>
      </c>
    </row>
    <row r="98" spans="1:20" x14ac:dyDescent="0.35">
      <c r="A98" s="60">
        <v>555</v>
      </c>
      <c r="B98" s="28">
        <f>COUNTIFS('Data - Taxa'!$B$3:$B$169, "Algal", 'Data - Taxa'!$AK$3:$AK$169, "Y",'Data - Taxa'!BV3:BV169,"Y")</f>
        <v>14</v>
      </c>
      <c r="C98" s="28">
        <f>COUNTIFS('Data - Taxa'!$B$3:$B$169, "Arboreomorpha", 'Data - Taxa'!$AK$3:$AK$169, "Y",'Data - Taxa'!BV3:BV169,"Y")</f>
        <v>4</v>
      </c>
      <c r="D98" s="28">
        <f>COUNTIFS('Data - Taxa'!$B$3:$B$169, "Bilateralomorpha", 'Data - Taxa'!$AK$3:$AK$169, "Y",'Data - Taxa'!BV3:BV169,"Y")</f>
        <v>6</v>
      </c>
      <c r="E98" s="28">
        <f>COUNTIFS('Data - Taxa'!$B$3:$B$169, "Cnidarian", 'Data - Taxa'!$AK$3:$AK$169, "Y",'Data - Taxa'!BV3:BV169,"Y")</f>
        <v>1</v>
      </c>
      <c r="F98" s="28">
        <f>COUNTIFS('Data - Taxa'!$B$3:$B$169, "Dickinsoniomorpha", 'Data - Taxa'!$AK$3:$AK$169, "Y",'Data - Taxa'!BV3:BV169,"Y")</f>
        <v>4</v>
      </c>
      <c r="G98" s="28">
        <f>COUNTIFS('Data - Taxa'!$B$3:$B$169, "Complex discoidal", 'Data - Taxa'!$AK$3:$AK$169, "Y",'Data - Taxa'!BV3:BV169,"Y")</f>
        <v>3</v>
      </c>
      <c r="H98" s="28">
        <f>COUNTIFS('Data - Taxa'!$B$3:$B$169, "Erniettomorpha", 'Data - Taxa'!$AK$3:$AK$169, "Y",'Data - Taxa'!BV3:BV169,"Y")</f>
        <v>2</v>
      </c>
      <c r="I98" s="28">
        <f>COUNTIFS('Data - Taxa'!$B$3:$B$169, "Kimberellamorpha", 'Data - Taxa'!$AK$3:$AK$169, "Y",'Data - Taxa'!BV3:BV169,"Y")</f>
        <v>1</v>
      </c>
      <c r="J98" s="28">
        <f>COUNTIFS('Data - Taxa'!$B$3:$B$169, "Pentaradialomorpha", 'Data - Taxa'!$AK$3:$AK$169, "Y",'Data - Taxa'!BV3:BV169,"Y")</f>
        <v>1</v>
      </c>
      <c r="K98" s="28">
        <f>COUNTIFS('Data - Taxa'!$B$3:$B$169, "Protist", 'Data - Taxa'!$AK$3:$AK$169, "Y",'Data - Taxa'!BV3:BV169,"Y")</f>
        <v>2</v>
      </c>
      <c r="L98" s="28">
        <f>COUNTIFS('Data - Taxa'!$B$3:$B$169, "Rangeomorpha", 'Data - Taxa'!$AK$3:$AK$169, "Y",'Data - Taxa'!BV3:BV169,"Y")</f>
        <v>6</v>
      </c>
      <c r="M98" s="28">
        <f>COUNTIFS('Data - Taxa'!$B$3:$B$169, "Sponges", 'Data - Taxa'!$AK$3:$AK$169, "Y",'Data - Taxa'!BV3:BV169,"Y")</f>
        <v>3</v>
      </c>
      <c r="N98" s="28">
        <f>COUNTIFS('Data - Taxa'!$B$3:$B$169, "Tetraradialomorpha", 'Data - Taxa'!$AK$3:$AK$169, "Y",'Data - Taxa'!BV3:BV169,"Y")</f>
        <v>1</v>
      </c>
      <c r="O98" s="28">
        <f>COUNTIFS('Data - Taxa'!$B$3:$B$169, "Triradialomorpha", 'Data - Taxa'!$AK$3:$AK$169, "Y",'Data - Taxa'!BV3:BV169,"Y")</f>
        <v>4</v>
      </c>
      <c r="P98" s="28">
        <f>COUNTIFS('Data - Taxa'!$B$3:$B$169, "Tubular", 'Data - Taxa'!$AK$3:$AK$169, "Y",'Data - Taxa'!BV3:BV169,"Y")</f>
        <v>10</v>
      </c>
      <c r="Q98" s="28">
        <f>COUNTIFS('Data - Taxa'!$B$3:$B$169, "Tunicate", 'Data - Taxa'!$AK$3:$AK$169, "Y",'Data - Taxa'!BV3:BV169,"Y")</f>
        <v>0</v>
      </c>
      <c r="R98" s="28">
        <f>COUNTIFS('Data - Taxa'!$B$3:$B$169, "Miscellaneous", 'Data - Taxa'!$AK$3:$AK$169, "Y",'Data - Taxa'!BV3:BV169,"Y")+1</f>
        <v>12</v>
      </c>
    </row>
    <row r="99" spans="1:20" x14ac:dyDescent="0.35">
      <c r="A99" s="60">
        <v>545</v>
      </c>
      <c r="B99" s="28">
        <f>COUNTIFS('Data - Taxa'!$B$3:$B$169, "Algal", 'Data - Taxa'!$AL$3:$AL$169, "Y",'Data - Taxa'!BV3:BV169,"Y")</f>
        <v>6</v>
      </c>
      <c r="C99" s="28">
        <f>COUNTIFS('Data - Taxa'!$B$3:$B$169, "Arboreomorpha", 'Data - Taxa'!$AL$3:$AL$169, "Y",'Data - Taxa'!BV3:BV169,"Y")+1</f>
        <v>3</v>
      </c>
      <c r="D99" s="28">
        <f>COUNTIFS('Data - Taxa'!$B$3:$B$169, "Bilateralomorpha", 'Data - Taxa'!$AL$3:$AL$169, "Y",'Data - Taxa'!BV3:BV169,"Y")</f>
        <v>2</v>
      </c>
      <c r="E99" s="28">
        <f>COUNTIFS('Data - Taxa'!$B$3:$B$169, "Cnidarian", 'Data - Taxa'!$AL$3:$AL$169, "Y",'Data - Taxa'!BV3:BV169,"Y")</f>
        <v>1</v>
      </c>
      <c r="F99" s="28">
        <f>COUNTIFS('Data - Taxa'!$B$3:$B$169, "Dickinsoniomorpha", 'Data - Taxa'!$AL$3:$AL$169, "Y",'Data - Taxa'!BV3:BV169,"Y")</f>
        <v>1</v>
      </c>
      <c r="G99" s="28">
        <f>COUNTIFS('Data - Taxa'!$B$3:$B$169, "Complex discoidal", 'Data - Taxa'!$AL$3:$AL$169, "Y",'Data - Taxa'!BV3:BV169,"Y")</f>
        <v>3</v>
      </c>
      <c r="H99" s="28">
        <f>COUNTIFS('Data - Taxa'!$B$3:$B$169, "Erniettomorpha", 'Data - Taxa'!$AL$3:$AL$169, "Y",'Data - Taxa'!BV3:BV169,"Y")</f>
        <v>4</v>
      </c>
      <c r="I99" s="28">
        <f>COUNTIFS('Data - Taxa'!$B$3:$B$169, "Kimberellamorpha", 'Data - Taxa'!$AL$3:$AL$169, "Y",'Data - Taxa'!BV3:BV169,"Y")</f>
        <v>1</v>
      </c>
      <c r="J99" s="28">
        <f>COUNTIFS('Data - Taxa'!$B$3:$B$169, "Pentaradialomorpha", 'Data - Taxa'!$AL$3:$AL$169, "Y",'Data - Taxa'!BV3:BV169,"Y")</f>
        <v>0</v>
      </c>
      <c r="K99" s="28">
        <f>COUNTIFS('Data - Taxa'!$B$3:$B$169, "Protist", 'Data - Taxa'!$AL$3:$AL$169, "Y",'Data - Taxa'!BV3:BV169,"Y")</f>
        <v>3</v>
      </c>
      <c r="L99" s="28">
        <f>COUNTIFS('Data - Taxa'!$B$3:$B$169, "Rangeomorpha", 'Data - Taxa'!$AL$3:$AL$169, "Y",'Data - Taxa'!BV3:BV169,"Y")</f>
        <v>3</v>
      </c>
      <c r="M99" s="28">
        <f>COUNTIFS('Data - Taxa'!$B$3:$B$169, "Sponges", 'Data - Taxa'!$AL$3:$AL$169, "Y",'Data - Taxa'!BV3:BV169,"Y")</f>
        <v>0</v>
      </c>
      <c r="N99" s="28">
        <f>COUNTIFS('Data - Taxa'!$B$3:$B$169, "Tetraradialomorpha", 'Data - Taxa'!$AL$3:$AL$169, "Y",'Data - Taxa'!BV3:BV169,"Y")</f>
        <v>1</v>
      </c>
      <c r="O99" s="28">
        <f>COUNTIFS('Data - Taxa'!$B$3:$B$169, "Triradialomorpha", 'Data - Taxa'!$AL$3:$AL$169, "Y",'Data - Taxa'!BV3:BV169,"Y")</f>
        <v>2</v>
      </c>
      <c r="P99" s="28">
        <f>COUNTIFS('Data - Taxa'!$B$3:$B$169, "Tubular", 'Data - Taxa'!$AL$3:$AL$169, "Y",'Data - Taxa'!BV3:BV169,"Y")</f>
        <v>18</v>
      </c>
      <c r="Q99" s="28">
        <f>COUNTIFS('Data - Taxa'!$B$3:$B$169, "Tunicate", 'Data - Taxa'!$AL$3:$AL$169, "Y",'Data - Taxa'!BV3:BV169,"Y")</f>
        <v>0</v>
      </c>
      <c r="R99" s="28">
        <f>COUNTIFS('Data - Taxa'!$B$3:$B$169, "Miscellaneous", 'Data - Taxa'!$AL$3:$AL$169, "Y",'Data - Taxa'!BV3:BV169,"Y")+1</f>
        <v>8</v>
      </c>
    </row>
    <row r="100" spans="1:20" x14ac:dyDescent="0.35">
      <c r="A100" s="28" t="s">
        <v>550</v>
      </c>
    </row>
    <row r="101" spans="1:20" x14ac:dyDescent="0.35">
      <c r="A101" s="51" t="s">
        <v>164</v>
      </c>
      <c r="B101" s="52" t="s">
        <v>12</v>
      </c>
      <c r="C101" s="52" t="s">
        <v>16</v>
      </c>
      <c r="D101" s="52" t="s">
        <v>18</v>
      </c>
      <c r="E101" s="52" t="s">
        <v>24</v>
      </c>
      <c r="F101" s="52" t="s">
        <v>9</v>
      </c>
      <c r="G101" s="52" t="s">
        <v>384</v>
      </c>
      <c r="H101" s="52" t="s">
        <v>62</v>
      </c>
      <c r="I101" s="52" t="s">
        <v>83</v>
      </c>
      <c r="J101" s="52" t="s">
        <v>22</v>
      </c>
      <c r="K101" s="52" t="s">
        <v>54</v>
      </c>
      <c r="L101" s="52" t="s">
        <v>30</v>
      </c>
      <c r="M101" s="52" t="s">
        <v>28</v>
      </c>
      <c r="N101" s="52" t="s">
        <v>49</v>
      </c>
      <c r="O101" s="52" t="s">
        <v>6</v>
      </c>
      <c r="P101" s="52" t="s">
        <v>14</v>
      </c>
      <c r="Q101" s="52" t="s">
        <v>157</v>
      </c>
      <c r="R101" s="52" t="s">
        <v>46</v>
      </c>
      <c r="S101"/>
      <c r="T101"/>
    </row>
    <row r="102" spans="1:20" x14ac:dyDescent="0.35">
      <c r="A102" s="60">
        <v>585</v>
      </c>
      <c r="B102" s="28">
        <f>COUNTIFS('Data - Taxa'!$B$3:$B$169, "Algal", 'Data - Taxa'!$AH$3:$AH$169, "Y",'Data - Taxa'!BU3:BU169,"Y")</f>
        <v>0</v>
      </c>
      <c r="C102" s="28">
        <f>COUNTIFS('Data - Taxa'!$B$3:$B$169, "Arboreomorpha", 'Data - Taxa'!$AH$3:$AH$169, "Y",'Data - Taxa'!BU3:BU169,"Y")</f>
        <v>0</v>
      </c>
      <c r="D102" s="28">
        <f>COUNTIFS('Data - Taxa'!$B$3:$B$169, "Bilateralomorpha", 'Data - Taxa'!$AH$3:$AH$169, "Y",'Data - Taxa'!BU3:BU169,"Y")</f>
        <v>0</v>
      </c>
      <c r="E102" s="28">
        <f>COUNTIFS('Data - Taxa'!$B$3:$B$169, "Cnidarian", 'Data - Taxa'!$AH$3:$AH$169, "Y",'Data - Taxa'!BU3:BU169,"Y")</f>
        <v>0</v>
      </c>
      <c r="F102" s="28">
        <f>COUNTIFS('Data - Taxa'!$B$3:$B$169, "Dickinsoniomorpha", 'Data - Taxa'!$AH$3:$AH$169, "Y",'Data - Taxa'!BU3:BU169,"Y")</f>
        <v>0</v>
      </c>
      <c r="G102" s="28">
        <f>COUNTIFS('Data - Taxa'!$B$3:$B$169, "Complex discoidal", 'Data - Taxa'!$AH$3:$AH$169, "Y",'Data - Taxa'!BU3:BU169,"Y")</f>
        <v>0</v>
      </c>
      <c r="H102" s="28">
        <f>COUNTIFS('Data - Taxa'!$B$3:$B$169, "Erniettomorpha", 'Data - Taxa'!$AH$3:$AH$169, "Y",'Data - Taxa'!BU3:BU169,"Y")</f>
        <v>0</v>
      </c>
      <c r="I102" s="28">
        <f>COUNTIFS('Data - Taxa'!$B$3:$B$169, "Kimberellamorpha", 'Data - Taxa'!$AH$3:$AH$169, "Y",'Data - Taxa'!BU3:BU169,"Y")</f>
        <v>0</v>
      </c>
      <c r="J102" s="28">
        <f>COUNTIFS('Data - Taxa'!$B$3:$B$169, "Pentaradialomorpha", 'Data - Taxa'!$AH$3:$AH$169, "Y",'Data - Taxa'!BU3:BU169,"Y")</f>
        <v>0</v>
      </c>
      <c r="K102" s="28">
        <f>COUNTIFS('Data - Taxa'!$B$3:$B$169, "Protist", 'Data - Taxa'!$AH$3:$AH$169, "Y",'Data - Taxa'!BU3:BU169,"Y")</f>
        <v>2</v>
      </c>
      <c r="L102" s="28">
        <f>COUNTIFS('Data - Taxa'!$B$3:$B$169, "Rangeomorpha", 'Data - Taxa'!$AH$3:$AH$169, "Y",'Data - Taxa'!BU3:BU169,"Y")</f>
        <v>0</v>
      </c>
      <c r="M102" s="28">
        <f>COUNTIFS('Data - Taxa'!$B$3:$B$169, "Sponges", 'Data - Taxa'!$AH$3:$AH$169, "Y",'Data - Taxa'!BU3:BU169,"Y")</f>
        <v>0</v>
      </c>
      <c r="N102" s="28">
        <f>COUNTIFS('Data - Taxa'!$B$3:$B$169, "Tetraradialomorpha", 'Data - Taxa'!$AH$3:$AH$169, "Y",'Data - Taxa'!BU3:BU169,"Y")</f>
        <v>0</v>
      </c>
      <c r="O102" s="28">
        <f>COUNTIFS('Data - Taxa'!$B$3:$B$169, "Triradialomorpha", 'Data - Taxa'!$AH$3:$AH$169, "Y",'Data - Taxa'!BU3:BU169,"Y")</f>
        <v>0</v>
      </c>
      <c r="P102" s="28">
        <f>COUNTIFS('Data - Taxa'!$B$3:$B$169, "Tubular", 'Data - Taxa'!$AH$3:$AH$169, "Y",'Data - Taxa'!BU3:BU169,"Y")</f>
        <v>0</v>
      </c>
      <c r="Q102" s="28">
        <f>COUNTIFS('Data - Taxa'!$B$3:$B$169, "Tunicate", 'Data - Taxa'!$AH$3:$AH$169, "Y",'Data - Taxa'!BU3:BU169,"Y")</f>
        <v>0</v>
      </c>
      <c r="R102" s="28">
        <f>COUNTIFS('Data - Taxa'!$B$3:$B$169, "Miscellaneous", 'Data - Taxa'!$AH$3:$AH$169, "Y",'Data - Taxa'!BU3:BU169,"Y")</f>
        <v>0</v>
      </c>
    </row>
    <row r="103" spans="1:20" x14ac:dyDescent="0.35">
      <c r="A103" s="60">
        <v>575</v>
      </c>
      <c r="B103" s="28">
        <f>COUNTIFS('Data - Taxa'!$B$3:$B$169, "Algal", 'Data - Taxa'!$AI$3:$AI$169, "Y",'Data - Taxa'!BU3:BU169,"Y")</f>
        <v>0</v>
      </c>
      <c r="C103" s="28">
        <f>COUNTIFS('Data - Taxa'!$B$3:$B$169, "Arboreomorpha", 'Data - Taxa'!$AI$3:$AI$169, "Y",'Data - Taxa'!BU3:BU169,"Y")</f>
        <v>1</v>
      </c>
      <c r="D103" s="28">
        <f>COUNTIFS('Data - Taxa'!$B$3:$B$169, "Bilateralomorpha", 'Data - Taxa'!$AI$3:$AI$169, "Y",'Data - Taxa'!BU3:BU169,"Y")</f>
        <v>0</v>
      </c>
      <c r="E103" s="28">
        <f>COUNTIFS('Data - Taxa'!$B$3:$B$169, "Cnidarian", 'Data - Taxa'!$AI$3:$AI$169, "Y",'Data - Taxa'!BU3:BU169,"Y")</f>
        <v>0</v>
      </c>
      <c r="F103" s="28">
        <f>COUNTIFS('Data - Taxa'!$B$3:$B$169, "Dickinsoniomorpha", 'Data - Taxa'!$AI$3:$AI$169, "Y",'Data - Taxa'!BU3:BU169,"Y")</f>
        <v>0</v>
      </c>
      <c r="G103" s="28">
        <f>COUNTIFS('Data - Taxa'!$B$3:$B$169, "Complex discoidal", 'Data - Taxa'!$AI$3:$AI$169, "Y",'Data - Taxa'!BU3:BU169,"Y")</f>
        <v>0</v>
      </c>
      <c r="H103" s="28">
        <f>COUNTIFS('Data - Taxa'!$B$3:$B$169, "Erniettomorpha", 'Data - Taxa'!$AI$3:$AI$169, "Y",'Data - Taxa'!BU3:BU169,"Y")</f>
        <v>0</v>
      </c>
      <c r="I103" s="28">
        <f>COUNTIFS('Data - Taxa'!$B$3:$B$169, "Kimberellamorpha", 'Data - Taxa'!$AI$3:$AI$169, "Y",'Data - Taxa'!BU3:BU169,"Y")</f>
        <v>0</v>
      </c>
      <c r="J103" s="28">
        <f>COUNTIFS('Data - Taxa'!$B$3:$B$169, "Pentaradialomorpha", 'Data - Taxa'!$AI$3:$AI$169, "Y",'Data - Taxa'!BU3:BU169,"Y")</f>
        <v>0</v>
      </c>
      <c r="K103" s="28">
        <f>COUNTIFS('Data - Taxa'!$B$3:$B$169, "Protist", 'Data - Taxa'!$AI$3:$AI$169, "Y",'Data - Taxa'!BU3:BU169,"Y")</f>
        <v>1</v>
      </c>
      <c r="L103" s="28">
        <f>COUNTIFS('Data - Taxa'!$B$3:$B$169, "Rangeomorpha", 'Data - Taxa'!$AI$3:$AI$169, "Y",'Data - Taxa'!BU3:BU169,"Y")</f>
        <v>7</v>
      </c>
      <c r="M103" s="28">
        <f>COUNTIFS('Data - Taxa'!$B$3:$B$169, "Sponges", 'Data - Taxa'!$AI$3:$AI$169, "Y",'Data - Taxa'!BU3:BU169,"Y")</f>
        <v>1</v>
      </c>
      <c r="N103" s="28">
        <f>COUNTIFS('Data - Taxa'!$B$3:$B$169, "Tetraradialomorpha", 'Data - Taxa'!$AI$3:$AI$169, "Y",'Data - Taxa'!BU3:BU169,"Y")</f>
        <v>0</v>
      </c>
      <c r="O103" s="28">
        <f>COUNTIFS('Data - Taxa'!$B$3:$B$169, "Triradialomorpha", 'Data - Taxa'!$AI$3:$AI$169, "Y",'Data - Taxa'!BU3:BU169,"Y")</f>
        <v>0</v>
      </c>
      <c r="P103" s="28">
        <f>COUNTIFS('Data - Taxa'!$B$3:$B$169, "Tubular", 'Data - Taxa'!$AI$3:$AI$169, "Y",'Data - Taxa'!BU3:BU169,"Y")</f>
        <v>3</v>
      </c>
      <c r="Q103" s="28">
        <f>COUNTIFS('Data - Taxa'!$B$3:$B$169, "Tunicate", 'Data - Taxa'!$AI$3:$AI$169, "Y",'Data - Taxa'!BU3:BU169,"Y")</f>
        <v>0</v>
      </c>
      <c r="R103" s="28">
        <f>COUNTIFS('Data - Taxa'!$B$3:$B$169, "Miscellaneous", 'Data - Taxa'!$AI$3:$AI$169, "Y",'Data - Taxa'!BU3:BU169,"Y")</f>
        <v>0</v>
      </c>
    </row>
    <row r="104" spans="1:20" x14ac:dyDescent="0.35">
      <c r="A104" s="60">
        <v>565</v>
      </c>
      <c r="B104" s="28">
        <f>COUNTIFS('Data - Taxa'!$B$3:$B$169, "Algal", 'Data - Taxa'!$AJ$3:$AJ$169, "Y",'Data - Taxa'!BU3:BU169,"Y")</f>
        <v>0</v>
      </c>
      <c r="C104" s="28">
        <f>COUNTIFS('Data - Taxa'!$B$3:$B$169, "Arboreomorpha", 'Data - Taxa'!$AJ$3:$AJ$169, "Y",'Data - Taxa'!BU3:BU169,"Y")</f>
        <v>2</v>
      </c>
      <c r="D104" s="28">
        <f>COUNTIFS('Data - Taxa'!$B$3:$B$169, "Bilateralomorpha", 'Data - Taxa'!$AJ$3:$AJ$169, "Y",'Data - Taxa'!BU3:BU169,"Y")</f>
        <v>0</v>
      </c>
      <c r="E104" s="28">
        <f>COUNTIFS('Data - Taxa'!$B$3:$B$169, "Cnidarian", 'Data - Taxa'!$AJ$3:$AJ$169, "Y",'Data - Taxa'!BU3:BU169,"Y")</f>
        <v>1</v>
      </c>
      <c r="F104" s="28">
        <f>COUNTIFS('Data - Taxa'!$B$3:$B$169, "Dickinsoniomorpha", 'Data - Taxa'!$AJ$3:$AJ$169, "Y",'Data - Taxa'!BU3:BU169,"Y")</f>
        <v>0</v>
      </c>
      <c r="G104" s="28">
        <f>COUNTIFS('Data - Taxa'!$B$3:$B$169, "Complex discoidal", 'Data - Taxa'!$AJ$3:$AJ$169, "Y",'Data - Taxa'!BU3:BU169,"Y")</f>
        <v>0</v>
      </c>
      <c r="H104" s="28">
        <f>COUNTIFS('Data - Taxa'!$B$3:$B$169, "Erniettomorpha", 'Data - Taxa'!$AJ$3:$AJ$169, "Y",'Data - Taxa'!BU3:BU169,"Y")</f>
        <v>0</v>
      </c>
      <c r="I104" s="28">
        <f>COUNTIFS('Data - Taxa'!$B$3:$B$169, "Kimberellamorpha", 'Data - Taxa'!$AJ$3:$AJ$169, "Y",'Data - Taxa'!BU3:BU169,"Y")</f>
        <v>0</v>
      </c>
      <c r="J104" s="28">
        <f>COUNTIFS('Data - Taxa'!$B$3:$B$169, "Pentaradialomorpha", 'Data - Taxa'!$AJ$3:$AJ$169, "Y",'Data - Taxa'!BU3:BU169,"Y")</f>
        <v>0</v>
      </c>
      <c r="K104" s="28">
        <f>COUNTIFS('Data - Taxa'!$B$3:$B$169, "Protist", 'Data - Taxa'!$AJ$3:$AJ$169, "Y",'Data - Taxa'!BU3:BU169,"Y")</f>
        <v>2</v>
      </c>
      <c r="L104" s="28">
        <f>COUNTIFS('Data - Taxa'!$B$3:$B$169, "Rangeomorpha", 'Data - Taxa'!$AJ$3:$AJ$169, "Y",'Data - Taxa'!BU3:BU169,"Y")</f>
        <v>15</v>
      </c>
      <c r="M104" s="28">
        <f>COUNTIFS('Data - Taxa'!$B$3:$B$169, "Sponges", 'Data - Taxa'!$AJ$3:$AJ$169, "Y",'Data - Taxa'!BU3:BU169,"Y")</f>
        <v>1</v>
      </c>
      <c r="N104" s="28">
        <f>COUNTIFS('Data - Taxa'!$B$3:$B$169, "Tetraradialomorpha", 'Data - Taxa'!$AJ$3:$AJ$169, "Y",'Data - Taxa'!BU3:BU169,"Y")</f>
        <v>0</v>
      </c>
      <c r="O104" s="28">
        <f>COUNTIFS('Data - Taxa'!$B$3:$B$169, "Triradialomorpha", 'Data - Taxa'!$AJ$3:$AJ$169, "Y",'Data - Taxa'!BU3:BU169,"Y")</f>
        <v>1</v>
      </c>
      <c r="P104" s="28">
        <f>COUNTIFS('Data - Taxa'!$B$3:$B$169, "Tubular", 'Data - Taxa'!$AJ$3:$AJ$169, "Y",'Data - Taxa'!BU3:BU169,"Y")</f>
        <v>0</v>
      </c>
      <c r="Q104" s="28">
        <f>COUNTIFS('Data - Taxa'!$B$3:$B$169, "Tunicate", 'Data - Taxa'!$AJ$3:$AJ$169, "Y",'Data - Taxa'!BU3:BU169,"Y")</f>
        <v>0</v>
      </c>
      <c r="R104" s="28">
        <f>COUNTIFS('Data - Taxa'!$B$3:$B$169, "Miscellaneous", 'Data - Taxa'!$AJ$3:$AJ$169, "Y",'Data - Taxa'!BU3:BU169,"Y")+1</f>
        <v>3</v>
      </c>
    </row>
    <row r="105" spans="1:20" x14ac:dyDescent="0.35">
      <c r="A105" s="60">
        <v>555</v>
      </c>
      <c r="B105" s="28">
        <f>COUNTIFS('Data - Taxa'!$B$3:$B$169, "Algal", 'Data - Taxa'!$AK$3:$AK$169, "Y",'Data - Taxa'!BU3:BU169,"Y")</f>
        <v>5</v>
      </c>
      <c r="C105" s="28">
        <f>COUNTIFS('Data - Taxa'!$B$3:$B$169, "Arboreomorpha", 'Data - Taxa'!$AK$3:$AK$169, "Y",'Data - Taxa'!BU3:BU169,"Y")+1</f>
        <v>4</v>
      </c>
      <c r="D105" s="28">
        <f>COUNTIFS('Data - Taxa'!$B$3:$B$169, "Bilateralomorpha", 'Data - Taxa'!$AK$3:$AK$169, "Y",'Data - Taxa'!BU3:BU169,"Y")</f>
        <v>11</v>
      </c>
      <c r="E105" s="28">
        <f>COUNTIFS('Data - Taxa'!$B$3:$B$169, "Cnidarian", 'Data - Taxa'!$AK$3:$AK$169, "Y",'Data - Taxa'!BU3:BU169,"Y")</f>
        <v>3</v>
      </c>
      <c r="F105" s="28">
        <f>COUNTIFS('Data - Taxa'!$B$3:$B$169, "Dickinsoniomorpha", 'Data - Taxa'!$AK$3:$AK$169, "Y",'Data - Taxa'!BU3:BU169,"Y")</f>
        <v>6</v>
      </c>
      <c r="G105" s="28">
        <f>COUNTIFS('Data - Taxa'!$B$3:$B$169, "Complex discoidal", 'Data - Taxa'!$AK$3:$AK$169, "Y",'Data - Taxa'!BU3:BU169,"Y")</f>
        <v>2</v>
      </c>
      <c r="H105" s="28">
        <f>COUNTIFS('Data - Taxa'!$B$3:$B$169, "Erniettomorpha", 'Data - Taxa'!$AK$3:$AK$169, "Y",'Data - Taxa'!BU3:BU169,"Y")</f>
        <v>3</v>
      </c>
      <c r="I105" s="28">
        <f>COUNTIFS('Data - Taxa'!$B$3:$B$169, "Kimberellamorpha", 'Data - Taxa'!$AK$3:$AK$169, "Y",'Data - Taxa'!BU3:BU169,"Y")</f>
        <v>2</v>
      </c>
      <c r="J105" s="28">
        <f>COUNTIFS('Data - Taxa'!$B$3:$B$169, "Pentaradialomorpha", 'Data - Taxa'!$AK$3:$AK$169, "Y",'Data - Taxa'!BU3:BU169,"Y")</f>
        <v>0</v>
      </c>
      <c r="K105" s="28">
        <f>COUNTIFS('Data - Taxa'!$B$3:$B$169, "Protist", 'Data - Taxa'!$AK$3:$AK$169, "Y",'Data - Taxa'!BU3:BU169,"Y")</f>
        <v>3</v>
      </c>
      <c r="L105" s="28">
        <f>COUNTIFS('Data - Taxa'!$B$3:$B$169, "Rangeomorpha", 'Data - Taxa'!$AK$3:$AK$169, "Y",'Data - Taxa'!BU3:BU169,"Y")</f>
        <v>7</v>
      </c>
      <c r="M105" s="28">
        <f>COUNTIFS('Data - Taxa'!$B$3:$B$169, "Sponges", 'Data - Taxa'!$AK$3:$AK$169, "Y",'Data - Taxa'!BU3:BU169,"Y")</f>
        <v>2</v>
      </c>
      <c r="N105" s="28">
        <f>COUNTIFS('Data - Taxa'!$B$3:$B$169, "Tetraradialomorpha", 'Data - Taxa'!$AK$3:$AK$169, "Y",'Data - Taxa'!BU3:BU169,"Y")</f>
        <v>1</v>
      </c>
      <c r="O105" s="28">
        <f>COUNTIFS('Data - Taxa'!$B$3:$B$169, "Triradialomorpha", 'Data - Taxa'!$AK$3:$AK$169, "Y",'Data - Taxa'!BU3:BU169,"Y")</f>
        <v>4</v>
      </c>
      <c r="P105" s="28">
        <f>COUNTIFS('Data - Taxa'!$B$3:$B$169, "Tubular", 'Data - Taxa'!$AK$3:$AK$169, "Y",'Data - Taxa'!BU3:BU169,"Y")</f>
        <v>4</v>
      </c>
      <c r="Q105" s="28">
        <f>COUNTIFS('Data - Taxa'!$B$3:$B$169, "Tunicate", 'Data - Taxa'!$AK$3:$AK$169, "Y",'Data - Taxa'!BU3:BU169,"Y")</f>
        <v>0</v>
      </c>
      <c r="R105" s="28">
        <f>COUNTIFS('Data - Taxa'!$B$3:$B$169, "Miscellaneous", 'Data - Taxa'!$AK$3:$AK$169, "Y",'Data - Taxa'!BU3:BU169,"Y")+1</f>
        <v>18</v>
      </c>
    </row>
    <row r="106" spans="1:20" x14ac:dyDescent="0.35">
      <c r="A106" s="60">
        <v>545</v>
      </c>
      <c r="B106" s="28">
        <f>COUNTIFS('Data - Taxa'!$B$3:$B$169, "Algal", 'Data - Taxa'!$AL$3:$AL$169, "Y",'Data - Taxa'!BU3:BU169,"Y")</f>
        <v>3</v>
      </c>
      <c r="C106" s="28">
        <f>COUNTIFS('Data - Taxa'!$B$3:$B$169, "Arboreomorpha", 'Data - Taxa'!$AL$3:$AL$169, "Y",'Data - Taxa'!BU3:BU169,"Y")</f>
        <v>1</v>
      </c>
      <c r="D106" s="28">
        <f>COUNTIFS('Data - Taxa'!$B$3:$B$169, "Bilateralomorpha", 'Data - Taxa'!$AL$3:$AL$169, "Y",'Data - Taxa'!BU3:BU169,"Y")</f>
        <v>1</v>
      </c>
      <c r="E106" s="28">
        <f>COUNTIFS('Data - Taxa'!$B$3:$B$169, "Cnidarian", 'Data - Taxa'!$AL$3:$AL$169, "Y",'Data - Taxa'!BU3:BU169,"Y")</f>
        <v>2</v>
      </c>
      <c r="F106" s="28">
        <f>COUNTIFS('Data - Taxa'!$B$3:$B$169, "Dickinsoniomorpha", 'Data - Taxa'!$AL$3:$AL$169, "Y",'Data - Taxa'!BU3:BU169,"Y")</f>
        <v>1</v>
      </c>
      <c r="G106" s="28">
        <f>COUNTIFS('Data - Taxa'!$B$3:$B$169, "Complex discoidal", 'Data - Taxa'!$AL$3:$AL$169, "Y",'Data - Taxa'!BU3:BU169,"Y")</f>
        <v>1</v>
      </c>
      <c r="H106" s="28">
        <f>COUNTIFS('Data - Taxa'!$B$3:$B$169, "Erniettomorpha", 'Data - Taxa'!$AL$3:$AL$169, "Y",'Data - Taxa'!BU3:BU169,"Y")</f>
        <v>3</v>
      </c>
      <c r="I106" s="28">
        <f>COUNTIFS('Data - Taxa'!$B$3:$B$169, "Kimberellamorpha", 'Data - Taxa'!$AL$3:$AL$169, "Y",'Data - Taxa'!BU3:BU169,"Y")</f>
        <v>1</v>
      </c>
      <c r="J106" s="28">
        <f>COUNTIFS('Data - Taxa'!$B$3:$B$169, "Pentaradialomorpha", 'Data - Taxa'!$AL$3:$AL$169, "Y",'Data - Taxa'!BU3:BU169,"Y")</f>
        <v>0</v>
      </c>
      <c r="K106" s="28">
        <f>COUNTIFS('Data - Taxa'!$B$3:$B$169, "Protist", 'Data - Taxa'!$AL$3:$AL$169, "Y",'Data - Taxa'!BU3:BU169,"Y")</f>
        <v>3</v>
      </c>
      <c r="L106" s="28">
        <f>COUNTIFS('Data - Taxa'!$B$3:$B$169, "Rangeomorpha", 'Data - Taxa'!$AL$3:$AL$169, "Y",'Data - Taxa'!BU3:BU169,"Y")</f>
        <v>2</v>
      </c>
      <c r="M106" s="28">
        <f>COUNTIFS('Data - Taxa'!$B$3:$B$169, "Sponges", 'Data - Taxa'!$AL$3:$AL$169, "Y",'Data - Taxa'!BU3:BU169,"Y")</f>
        <v>0</v>
      </c>
      <c r="N106" s="28">
        <f>COUNTIFS('Data - Taxa'!$B$3:$B$169, "Tetraradialomorpha", 'Data - Taxa'!$AL$3:$AL$169, "Y",'Data - Taxa'!BU3:BU169,"Y")</f>
        <v>1</v>
      </c>
      <c r="O106" s="28">
        <f>COUNTIFS('Data - Taxa'!$B$3:$B$169, "Triradialomorpha", 'Data - Taxa'!$AL$3:$AL$169, "Y",'Data - Taxa'!BU3:BU169,"Y")</f>
        <v>1</v>
      </c>
      <c r="P106" s="28">
        <f>COUNTIFS('Data - Taxa'!$B$3:$B$169, "Tubular", 'Data - Taxa'!$AL$3:$AL$169, "Y",'Data - Taxa'!BU3:BU169,"Y")</f>
        <v>6</v>
      </c>
      <c r="Q106" s="28">
        <f>COUNTIFS('Data - Taxa'!$B$3:$B$169, "Tunicate", 'Data - Taxa'!$AL$3:$AL$169, "Y",'Data - Taxa'!BU3:BU169,"Y")</f>
        <v>0</v>
      </c>
      <c r="R106" s="28">
        <f>COUNTIFS('Data - Taxa'!$B$3:$B$169, "Miscellaneous", 'Data - Taxa'!$AL$3:$AL$169, "Y",'Data - Taxa'!BU3:BU169,"Y")</f>
        <v>4</v>
      </c>
    </row>
  </sheetData>
  <mergeCells count="6">
    <mergeCell ref="B13:C13"/>
    <mergeCell ref="D13:E13"/>
    <mergeCell ref="F13:G13"/>
    <mergeCell ref="H13:I13"/>
    <mergeCell ref="D24:E24"/>
    <mergeCell ref="H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H44"/>
  <sheetViews>
    <sheetView zoomScale="70" zoomScaleNormal="70" workbookViewId="0"/>
  </sheetViews>
  <sheetFormatPr defaultRowHeight="14.5" x14ac:dyDescent="0.35"/>
  <cols>
    <col min="1" max="14" width="4.54296875" customWidth="1"/>
    <col min="15" max="15" width="4.54296875" style="6" customWidth="1"/>
    <col min="16" max="46" width="4.54296875" customWidth="1"/>
    <col min="82" max="84" width="4.54296875" customWidth="1"/>
    <col min="106" max="114" width="4.453125" customWidth="1"/>
  </cols>
  <sheetData>
    <row r="1" spans="1:138" x14ac:dyDescent="0.35">
      <c r="A1" s="18" t="s">
        <v>418</v>
      </c>
      <c r="P1" s="18"/>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row>
    <row r="2" spans="1:138" x14ac:dyDescent="0.35">
      <c r="A2" t="s">
        <v>497</v>
      </c>
      <c r="DA2" s="6"/>
      <c r="DB2" s="55"/>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row>
    <row r="3" spans="1:138" s="40" customFormat="1" ht="150.75" customHeight="1" x14ac:dyDescent="0.35">
      <c r="A3" s="121" t="s">
        <v>303</v>
      </c>
      <c r="B3" s="121" t="s">
        <v>301</v>
      </c>
      <c r="C3" s="121" t="s">
        <v>304</v>
      </c>
      <c r="D3" s="120" t="s">
        <v>173</v>
      </c>
      <c r="E3" s="120" t="s">
        <v>387</v>
      </c>
      <c r="F3" s="120" t="s">
        <v>305</v>
      </c>
      <c r="G3" s="121" t="s">
        <v>327</v>
      </c>
      <c r="H3" s="121" t="s">
        <v>328</v>
      </c>
      <c r="I3" s="120" t="s">
        <v>307</v>
      </c>
      <c r="J3" s="120" t="s">
        <v>306</v>
      </c>
      <c r="K3" s="120" t="s">
        <v>308</v>
      </c>
      <c r="L3" s="120" t="s">
        <v>18</v>
      </c>
      <c r="M3" s="120" t="s">
        <v>9</v>
      </c>
      <c r="N3" s="120" t="s">
        <v>83</v>
      </c>
      <c r="O3" s="120" t="s">
        <v>542</v>
      </c>
      <c r="P3" s="120" t="s">
        <v>543</v>
      </c>
      <c r="Q3" s="120" t="s">
        <v>495</v>
      </c>
      <c r="R3" s="120" t="s">
        <v>496</v>
      </c>
      <c r="Y3" s="26"/>
      <c r="Z3" s="172"/>
      <c r="AA3" s="172"/>
      <c r="AB3" s="172"/>
      <c r="AC3" s="172"/>
      <c r="AD3" s="172"/>
      <c r="AE3" s="172"/>
      <c r="AF3" s="172"/>
      <c r="AG3" s="172"/>
      <c r="AH3" s="172"/>
      <c r="AI3" s="172"/>
      <c r="AJ3" s="172"/>
      <c r="AK3" s="172"/>
      <c r="AL3" s="172"/>
      <c r="AM3" s="172"/>
      <c r="AN3" s="172"/>
      <c r="AO3" s="172"/>
      <c r="AP3" s="172"/>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row>
    <row r="4" spans="1:138" x14ac:dyDescent="0.35">
      <c r="A4" s="1">
        <v>10</v>
      </c>
      <c r="B4" s="1">
        <f>COUNTA('Data - Localities'!O3:O33)+COUNTA('Data - Localities'!N3:N33)</f>
        <v>17</v>
      </c>
      <c r="C4" s="1">
        <f>COUNTIFS('Data - Taxa'!BI3:BI169,"Y",'Data - Taxa'!BH3:BH169,"")+COUNTIFS('Data - Taxa'!BI3:BI169,"",'Data - Taxa'!BH3:BH169,"Y")+COUNTIFS('Data - Taxa'!BI3:BI169,"Y",'Data - Taxa'!BH3:BH169,"Y")</f>
        <v>102</v>
      </c>
      <c r="D4">
        <f>COUNTIFS('Data - Taxa'!BI3:BI169,"Y",'Data - Taxa'!BH3:BH169,"",'Data - Taxa'!$AT$3:$AT$169, "Y")+COUNTIFS('Data - Taxa'!BI3:BI169,"",'Data - Taxa'!BH3:BH169,"Y",'Data - Taxa'!$AT$3:$AT$169, "Y")+COUNTIFS('Data - Taxa'!BI3:BI169,"Y",'Data - Taxa'!BH3:BH169,"Y",'Data - Taxa'!$AT$3:$AT$169, "Y")</f>
        <v>13</v>
      </c>
      <c r="E4">
        <f>COUNTIFS('Data - Taxa'!BI3:BI169,"Y",'Data - Taxa'!BH3:BH169,"", 'Data - Taxa'!$AT$3:$AT$169, "")+COUNTIFS('Data - Taxa'!BI3:BI169,"",'Data - Taxa'!BH3:BH169,"Y", 'Data - Taxa'!$AT$3:$AT$169, "")+COUNTIFS('Data - Taxa'!BI3:BI169,"Y",'Data - Taxa'!BH3:BH169,"Y", 'Data - Taxa'!$AT$3:$AT$169, "")</f>
        <v>89</v>
      </c>
      <c r="F4">
        <f>COUNTIFS('Data - Taxa'!BI3:BI169,"Y",'Data - Taxa'!BH3:BH169,"", 'Data - Taxa'!$AN$3:$AN$169, "Y")+COUNTIFS('Data - Taxa'!BI3:BI169,"",'Data - Taxa'!BH3:BH169,"Y", 'Data - Taxa'!$AN$3:$AN$169, "Y")+COUNTIFS('Data - Taxa'!BI3:BI169,"Y",'Data - Taxa'!BH3:BH169,"Y", 'Data - Taxa'!$AN$3:$AN$169, "Y")</f>
        <v>6</v>
      </c>
      <c r="G4" s="1">
        <f>COUNTIFS('Data - Taxa'!BI3:BI169,"Y",'Data - Taxa'!BH3:BH169,"", 'Data - Taxa'!$AO$3:$AO$169, "Y")+COUNTIFS('Data - Taxa'!BI3:BI169,"",'Data - Taxa'!BH3:BH169,"Y", 'Data - Taxa'!$AO$3:$AO$169, "Y")+COUNTIFS('Data - Taxa'!BI3:BI169,"Y",'Data - Taxa'!BH3:BH169,"Y", 'Data - Taxa'!$AO$3:$AO$169, "Y")</f>
        <v>8</v>
      </c>
      <c r="H4" s="1">
        <f>COUNTIFS('Data - Taxa'!BI3:BI169,"Y",'Data - Taxa'!BH3:BH169,"", 'Data - Taxa'!$AQ$3:$AQ$169, "Y")+COUNTIFS('Data - Taxa'!BI3:BI169,"",'Data - Taxa'!BH3:BH169,"Y", 'Data - Taxa'!$AQ$3:$AQ$169, "Y")+COUNTIFS('Data - Taxa'!BI3:BI169,"Y",'Data - Taxa'!BH3:BH169,"Y", 'Data - Taxa'!$AQ$3:$AQ$169, "Y")</f>
        <v>66</v>
      </c>
      <c r="I4">
        <f>COUNTIFS('Data - Taxa'!BI3:BI169,"Y",'Data - Taxa'!BH3:BH169,"", 'Data - Taxa'!$AN$3:$AN$169, "Y", 'Data - Taxa'!$AY$3:$AY$169, "Y")+COUNTIFS('Data - Taxa'!BI3:BI169,"",'Data - Taxa'!BH3:BH169,"Y", 'Data - Taxa'!$AN$3:$AN$169, "Y", 'Data - Taxa'!$AY$3:$AY$169, "Y")+COUNTIFS('Data - Taxa'!BI3:BI169,"Y",'Data - Taxa'!BH3:BH169,"Y", 'Data - Taxa'!$AN$3:$AN$169, "Y", 'Data - Taxa'!$AY$3:$AY$169, "Y")</f>
        <v>4</v>
      </c>
      <c r="J4">
        <f>COUNTIFS('Data - Taxa'!BI3:BI169,"Y",'Data - Taxa'!BH3:BH169,"", 'Data - Taxa'!$AO$3:$AO$169, "Y", 'Data - Taxa'!$AY$3:$AY$169, "Y")+COUNTIFS('Data - Taxa'!BI3:BI169,"",'Data - Taxa'!BH3:BH169,"Y", 'Data - Taxa'!$AO$3:$AO$169, "Y", 'Data - Taxa'!$AY$3:$AY$169, "Y")+COUNTIFS('Data - Taxa'!BI3:BI169,"Y",'Data - Taxa'!BH3:BH169,"Y", 'Data - Taxa'!$AO$3:$AO$169, "Y", 'Data - Taxa'!$AY$3:$AY$169, "Y")</f>
        <v>7</v>
      </c>
      <c r="K4">
        <f>COUNTIFS('Data - Taxa'!BI3:BI169,"Y",'Data - Taxa'!BH3:BH169,"", 'Data - Taxa'!$AQ$3:$AQ$169, "Y", 'Data - Taxa'!$AY$3:$AY$169, "Y")+COUNTIFS('Data - Taxa'!BI3:BI169,"",'Data - Taxa'!BH3:BH169,"Y", 'Data - Taxa'!$AQ$3:$AQ$169, "Y", 'Data - Taxa'!$AY$3:$AY$169, "Y")+COUNTIFS('Data - Taxa'!BI3:BI169,"Y",'Data - Taxa'!BH3:BH169,"Y", 'Data - Taxa'!$AQ$3:$AQ$169, "Y", 'Data - Taxa'!$AY$3:$AY$169, "Y")</f>
        <v>11</v>
      </c>
      <c r="L4">
        <f>COUNTIFS('Data - Taxa'!BI3:BI169,"Y",'Data - Taxa'!BH3:BH169,"",'Data - Taxa'!$AT$3:$AT$169, "Y",'Data - Taxa'!$B3:B169,"Bilateralomorpha")+COUNTIFS('Data - Taxa'!BI3:BI169,"",'Data - Taxa'!BH3:BH169,"Y",'Data - Taxa'!$AT$3:$AT$169, "Y",'Data - Taxa'!$B3:B169,"Bilateralomorpha")+COUNTIFS('Data - Taxa'!BI3:BI169,"Y",'Data - Taxa'!BH3:BH169,"Y",'Data - Taxa'!$AT$3:$AT$169, "Y",'Data - Taxa'!$B3:B169,"Bilateralomorpha")</f>
        <v>8</v>
      </c>
      <c r="M4">
        <f>COUNTIFS('Data - Taxa'!BI3:BI169,"Y",'Data - Taxa'!BH3:BH169,"",'Data - Taxa'!$AT$3:$AT$169, "Y",'Data - Taxa'!$B3:B169,"Dickinsoniomorpha")+COUNTIFS('Data - Taxa'!BI3:BI169,"",'Data - Taxa'!BH3:BH169,"Y",'Data - Taxa'!$AT$3:$AT$169, "Y",'Data - Taxa'!$B3:B169,"Dickinsoniomorpha")+COUNTIFS('Data - Taxa'!BI3:BI169,"Y",'Data - Taxa'!BH3:BH169,"Y",'Data - Taxa'!$AT$3:$AT$169, "Y",'Data - Taxa'!$B3:B169,"Dickinsoniomorpha")</f>
        <v>4</v>
      </c>
      <c r="N4">
        <f>COUNTIFS('Data - Taxa'!BI3:BI169,"Y",'Data - Taxa'!BH3:BH169,"",'Data - Taxa'!$AT$3:$AT$169, "Y",'Data - Taxa'!$B3:B169,"Kimberellamorpha")+COUNTIFS('Data - Taxa'!BI3:BI169,"",'Data - Taxa'!BH3:BH169,"Y",'Data - Taxa'!$AT$3:$AT$169, "Y",'Data - Taxa'!$B3:B169,"Kimberellamorpha")+COUNTIFS('Data - Taxa'!BI3:BI169,"Y",'Data - Taxa'!BH3:BH169,"Y",'Data - Taxa'!$AT$3:$AT$169, "Y",'Data - Taxa'!$B3:B169,"Kimberellamorpha")</f>
        <v>1</v>
      </c>
      <c r="O4" s="1">
        <f>COUNTIFS('Data - Localities'!O3:O33,"Y",'Data - Localities'!$E3:$E33,"&lt;&gt;")+COUNTIFS('Data - Localities'!N3:N33,"Y",'Data - Localities'!$E3:$E33,"&lt;&gt;")</f>
        <v>7</v>
      </c>
      <c r="P4" s="1">
        <f>COUNTIFS('Data - Localities'!O3:O33,"Y",'Data - Localities'!$F3:$F33,"&lt;&gt;")+COUNTIFS('Data - Localities'!N3:N33,"Y",'Data - Localities'!$F3:$F33,"&lt;&gt;")</f>
        <v>8</v>
      </c>
      <c r="Q4">
        <f>COUNTIFS('Data - Taxa'!BI3:BI169,"Y",'Data - Taxa'!BH3:BH169,"",'Data - Taxa'!$AT$3:$AT$169, "Y", 'Data - Taxa'!$AK$3:$AK$169, "Y")+COUNTIFS('Data - Taxa'!BI3:BI169,"",'Data - Taxa'!BH3:BH169,"Y",'Data - Taxa'!$AT$3:$AT$169, "Y", 'Data - Taxa'!$AK$3:$AK$169, "Y")+COUNTIFS('Data - Taxa'!BI3:BI169,"Y",'Data - Taxa'!BH3:BH169,"Y",'Data - Taxa'!$AT$3:$AT$169, "Y", 'Data - Taxa'!$AK$3:$AK$169, "Y")</f>
        <v>11</v>
      </c>
      <c r="R4">
        <f>COUNTIFS('Data - Taxa'!BI3:BI169,"Y",'Data - Taxa'!BH3:BH169,"",'Data - Taxa'!$AT$3:$AT$169, "Y", 'Data - Taxa'!$AL$3:$AL$169, "Y")+COUNTIFS('Data - Taxa'!BI3:BI169,"",'Data - Taxa'!BH3:BH169,"Y",'Data - Taxa'!$AT$3:$AT$169, "Y", 'Data - Taxa'!$AL$3:$AL$169, "Y")+COUNTIFS('Data - Taxa'!BI3:BI169,"Y",'Data - Taxa'!BH3:BH169,"Y",'Data - Taxa'!$AT$3:$AT$169, "Y", 'Data - Taxa'!$AL$3:$AL$169, "Y")</f>
        <v>4</v>
      </c>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row>
    <row r="5" spans="1:138" x14ac:dyDescent="0.35">
      <c r="A5" s="1">
        <v>30</v>
      </c>
      <c r="B5" s="1">
        <f>COUNTA('Data - Localities'!M3:M33)+COUNTA('Data - Localities'!L3:L33)</f>
        <v>7</v>
      </c>
      <c r="C5" s="1">
        <f>COUNTIFS('Data - Taxa'!BG3:BG169,"Y",'Data - Taxa'!BF3:BF169,"")+COUNTIFS('Data - Taxa'!BG3:BG169,"",'Data - Taxa'!BF3:BF169,"Y")+COUNTIFS('Data - Taxa'!BG3:BG169,"Y",'Data - Taxa'!BF3:BF169,"Y")</f>
        <v>78</v>
      </c>
      <c r="D5">
        <f>COUNTIFS('Data - Taxa'!BG3:BG169,"Y",'Data - Taxa'!BF3:BF169,"",'Data - Taxa'!$AT$3:$AT$169, "Y")+COUNTIFS('Data - Taxa'!BG3:BG169,"",'Data - Taxa'!BF3:BF169,"Y",'Data - Taxa'!$AT$3:$AT$169, "Y")+COUNTIFS('Data - Taxa'!BG3:BG169,"Y",'Data - Taxa'!BF3:BF169,"Y",'Data - Taxa'!$AT$3:$AT$169, "Y")</f>
        <v>20</v>
      </c>
      <c r="E5">
        <f>COUNTIFS('Data - Taxa'!BG3:BG169,"Y",'Data - Taxa'!BF3:BF169,"", 'Data - Taxa'!$AT$3:$AT$169, "")+COUNTIFS('Data - Taxa'!BG3:BG169,"",'Data - Taxa'!BF3:BF169,"Y", 'Data - Taxa'!$AT$3:$AT$169, "")+COUNTIFS('Data - Taxa'!BG3:BG169,"Y",'Data - Taxa'!BF3:BF169,"Y", 'Data - Taxa'!$AT$3:$AT$169, "")</f>
        <v>58</v>
      </c>
      <c r="F5">
        <f>COUNTIFS('Data - Taxa'!BG3:BG169,"Y",'Data - Taxa'!BF3:BF169,"", 'Data - Taxa'!$AN$3:$AN$169, "Y")+COUNTIFS('Data - Taxa'!BG3:BG169,"",'Data - Taxa'!BF3:BF169,"Y", 'Data - Taxa'!$AN$3:$AN$169, "Y")+COUNTIFS('Data - Taxa'!BG3:BG169,"Y",'Data - Taxa'!BF3:BF169,"Y", 'Data - Taxa'!$AN$3:$AN$169, "Y")</f>
        <v>2</v>
      </c>
      <c r="G5" s="1">
        <f>COUNTIFS('Data - Taxa'!BG3:BG169,"Y",'Data - Taxa'!BF3:BF169,"", 'Data - Taxa'!$AO$3:$AO$169, "Y")+COUNTIFS('Data - Taxa'!BG3:BG169,"",'Data - Taxa'!BF3:BF169,"Y", 'Data - Taxa'!$AO$3:$AO$169, "Y")+COUNTIFS('Data - Taxa'!BG3:BG169,"Y",'Data - Taxa'!BF3:BF169,"Y", 'Data - Taxa'!$AO$3:$AO$169, "Y")</f>
        <v>2</v>
      </c>
      <c r="H5" s="1">
        <f>COUNTIFS('Data - Taxa'!BG3:BG169,"Y",'Data - Taxa'!BF3:BF169,"", 'Data - Taxa'!$AQ$3:$AQ$169, "Y")+COUNTIFS('Data - Taxa'!BG3:BG169,"",'Data - Taxa'!BF3:BF169,"Y", 'Data - Taxa'!$AQ$3:$AQ$169, "Y")+COUNTIFS('Data - Taxa'!BG3:BG169,"Y",'Data - Taxa'!BF3:BF169,"Y", 'Data - Taxa'!$AQ$3:$AQ$169, "Y")</f>
        <v>63</v>
      </c>
      <c r="I5">
        <f>COUNTIFS('Data - Taxa'!BG3:BG169,"Y",'Data - Taxa'!BF3:BF169,"", 'Data - Taxa'!$AN$3:$AN$169, "Y", 'Data - Taxa'!$AY$3:$AY$169, "Y")+COUNTIFS('Data - Taxa'!BG3:BG169,"",'Data - Taxa'!BF3:BF169,"Y", 'Data - Taxa'!$AN$3:$AN$169, "Y", 'Data - Taxa'!$AY$3:$AY$169, "Y")+COUNTIFS('Data - Taxa'!BG3:BG169,"Y",'Data - Taxa'!BF3:BF169,"Y", 'Data - Taxa'!$AN$3:$AN$169, "Y", 'Data - Taxa'!$AY$3:$AY$169, "Y")</f>
        <v>1</v>
      </c>
      <c r="J5">
        <f>COUNTIFS('Data - Taxa'!BG3:BG169,"Y",'Data - Taxa'!BF3:BF169,"", 'Data - Taxa'!$AO$3:$AO$169, "Y", 'Data - Taxa'!$AY$3:$AY$169, "Y")+COUNTIFS('Data - Taxa'!BG3:BG169,"",'Data - Taxa'!BF3:BF169,"Y", 'Data - Taxa'!$AO$3:$AO$169, "Y", 'Data - Taxa'!$AY$3:$AY$169, "Y")+COUNTIFS('Data - Taxa'!BG3:BG169,"Y",'Data - Taxa'!BF3:BF169,"Y", 'Data - Taxa'!$AO$3:$AO$169, "Y", 'Data - Taxa'!$AY$3:$AY$169, "Y")</f>
        <v>2</v>
      </c>
      <c r="K5">
        <f>COUNTIFS('Data - Taxa'!BG3:BG169,"Y",'Data - Taxa'!BF3:BF169,"", 'Data - Taxa'!$AQ$3:$AQ$169, "Y", 'Data - Taxa'!$AY$3:$AY$169, "Y")+COUNTIFS('Data - Taxa'!BG3:BG169,"",'Data - Taxa'!BF3:BF169,"Y", 'Data - Taxa'!$AQ$3:$AQ$169, "Y", 'Data - Taxa'!$AY$3:$AY$169, "Y")+COUNTIFS('Data - Taxa'!BG3:BG169,"Y",'Data - Taxa'!BF3:BF169,"Y", 'Data - Taxa'!$AQ$3:$AQ$169, "Y", 'Data - Taxa'!$AY$3:$AY$169, "Y")</f>
        <v>3</v>
      </c>
      <c r="L5">
        <f>COUNTIFS('Data - Taxa'!BG3:BG169,"Y",'Data - Taxa'!BF3:BF169,"",'Data - Taxa'!$AT$3:$AT$169, "Y",'Data - Taxa'!$B3:B169,"Bilateralomorpha")+COUNTIFS('Data - Taxa'!BG3:BG169,"",'Data - Taxa'!BF3:BF169,"Y",'Data - Taxa'!$AT$3:$AT$169, "Y",'Data - Taxa'!$B3:B169,"Bilateralomorpha")+COUNTIFS('Data - Taxa'!BG3:BG169,"Y",'Data - Taxa'!BF3:BF169,"Y",'Data - Taxa'!$AT$3:$AT$169, "Y",'Data - Taxa'!$B3:B169,"Bilateralomorpha")</f>
        <v>12</v>
      </c>
      <c r="M5">
        <f>COUNTIFS('Data - Taxa'!BG3:BG169,"Y",'Data - Taxa'!BF3:BF169,"",'Data - Taxa'!$AT$3:$AT$169, "Y",'Data - Taxa'!$B3:B169,"Dickinsoniomorpha")+COUNTIFS('Data - Taxa'!BG3:BG169,"",'Data - Taxa'!BF3:BF169,"Y",'Data - Taxa'!$AT$3:$AT$169, "Y",'Data - Taxa'!$B3:B169,"Dickinsoniomorpha")+COUNTIFS('Data - Taxa'!BG3:BG169,"Y",'Data - Taxa'!BF3:BF169,"Y",'Data - Taxa'!$AT$3:$AT$169, "Y",'Data - Taxa'!$B3:B169,"Dickinsoniomorpha")</f>
        <v>6</v>
      </c>
      <c r="N5">
        <f>COUNTIFS('Data - Taxa'!BG3:BG169,"Y",'Data - Taxa'!BF3:BF169,"",'Data - Taxa'!$AT$3:$AT$169, "Y",'Data - Taxa'!$B3:B169,"Kimberellamorpha")+COUNTIFS('Data - Taxa'!BG3:BG169,"",'Data - Taxa'!BF3:BF169,"Y",'Data - Taxa'!$AT$3:$AT$169, "Y",'Data - Taxa'!$B3:B169,"Kimberellamorpha")+COUNTIFS('Data - Taxa'!BG3:BG169,"Y",'Data - Taxa'!BF3:BF169,"Y",'Data - Taxa'!$AT$3:$AT$169, "Y",'Data - Taxa'!$B3:B169,"Kimberellamorpha")</f>
        <v>2</v>
      </c>
      <c r="O5" s="1">
        <f>COUNTIFS('Data - Localities'!M3:M33,"Y",'Data - Localities'!$E3:$E33,"&lt;&gt;")+COUNTIFS('Data - Localities'!L3:L33,"Y",'Data - Localities'!$E3:$E33,"&lt;&gt;")</f>
        <v>4</v>
      </c>
      <c r="P5" s="1">
        <f>COUNTIFS('Data - Localities'!M3:M33,"Y",'Data - Localities'!$F3:$F33,"&lt;&gt;")+COUNTIFS('Data - Localities'!L3:L33,"Y",'Data - Localities'!$F3:$F33,"&lt;&gt;")</f>
        <v>4</v>
      </c>
      <c r="Q5">
        <f>COUNTIFS('Data - Taxa'!BG3:BG169,"Y",'Data - Taxa'!BF3:BF169,"",'Data - Taxa'!$AT$3:$AT$169, "Y", 'Data - Taxa'!$AK$3:$AK$169, "Y")+COUNTIFS('Data - Taxa'!BG3:BG169,"",'Data - Taxa'!BF3:BF169,"Y",'Data - Taxa'!$AT$3:$AT$169, "Y", 'Data - Taxa'!$AK$3:$AK$169, "Y")+COUNTIFS('Data - Taxa'!BG3:BG169,"Y",'Data - Taxa'!BF3:BF169,"Y",'Data - Taxa'!$AT$3:$AT$169, "Y", 'Data - Taxa'!$AK$3:$AK$169, "Y")</f>
        <v>19</v>
      </c>
      <c r="R5">
        <f>COUNTIFS('Data - Taxa'!BG3:BG169,"Y",'Data - Taxa'!BF3:BF169,"",'Data - Taxa'!$AT$3:$AT$169, "Y", 'Data - Taxa'!$AL$3:$AL$169, "Y")+COUNTIFS('Data - Taxa'!BG3:BG169,"",'Data - Taxa'!BF3:BF169,"Y",'Data - Taxa'!$AT$3:$AT$169, "Y", 'Data - Taxa'!$AL$3:$AL$169, "Y")+COUNTIFS('Data - Taxa'!BG3:BG169,"Y",'Data - Taxa'!BF3:BF169,"Y",'Data - Taxa'!$AT$3:$AT$169, "Y", 'Data - Taxa'!$AL$3:$AL$169, "Y")</f>
        <v>3</v>
      </c>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x14ac:dyDescent="0.35">
      <c r="A6" s="1">
        <v>50</v>
      </c>
      <c r="B6" s="1">
        <f>COUNTA('Data - Localities'!K3:K33)+COUNTA('Data - Localities'!J3:J33)</f>
        <v>2</v>
      </c>
      <c r="C6" s="1">
        <f>COUNTIFS('Data - Taxa'!BE3:BE169,"Y",'Data - Taxa'!BD3:BD169,"")+COUNTIFS('Data - Taxa'!BE3:BE169,"",'Data - Taxa'!BD3:BD169,"Y")+COUNTIFS('Data - Taxa'!BE3:BE169,"Y",'Data - Taxa'!BD3:BD169,"Y")</f>
        <v>18</v>
      </c>
      <c r="D6">
        <f>COUNTIFS('Data - Taxa'!BE3:BE169,"Y",'Data - Taxa'!BD3:BD169,"",'Data - Taxa'!$AT$3:$AT$169, "Y")+COUNTIFS('Data - Taxa'!BE3:BE169,"",'Data - Taxa'!BD3:BD169,"Y",'Data - Taxa'!$AT$3:$AT$169, "Y")+COUNTIFS('Data - Taxa'!BE3:BE169,"Y",'Data - Taxa'!BD3:BD169,"Y",'Data - Taxa'!$AT$3:$AT$169, "Y")</f>
        <v>1</v>
      </c>
      <c r="E6">
        <f>COUNTIFS('Data - Taxa'!BE3:BE169,"Y",'Data - Taxa'!BD3:BD169,"", 'Data - Taxa'!$AT$3:$AT$169, "")+COUNTIFS('Data - Taxa'!BE3:BE169,"",'Data - Taxa'!BD3:BD169,"Y", 'Data - Taxa'!$AT$3:$AT$169, "")+COUNTIFS('Data - Taxa'!BE3:BE169,"Y",'Data - Taxa'!BD3:BD169,"Y", 'Data - Taxa'!$AT$3:$AT$169, "")</f>
        <v>17</v>
      </c>
      <c r="F6">
        <f>COUNTIFS('Data - Taxa'!BE3:BE169,"Y",'Data - Taxa'!BD3:BD169,"", 'Data - Taxa'!$AN$3:$AN$169, "Y")+COUNTIFS('Data - Taxa'!BE3:BE169,"",'Data - Taxa'!BD3:BD169,"Y", 'Data - Taxa'!$AN$3:$AN$169, "Y")+COUNTIFS('Data - Taxa'!BE3:BE169,"Y",'Data - Taxa'!BD3:BD169,"Y", 'Data - Taxa'!$AN$3:$AN$169, "Y")</f>
        <v>3</v>
      </c>
      <c r="G6" s="1">
        <f>COUNTIFS('Data - Taxa'!BE3:BE169,"Y",'Data - Taxa'!BD3:BD169,"", 'Data - Taxa'!$AO$3:$AO$169, "Y")+COUNTIFS('Data - Taxa'!BE3:BE169,"",'Data - Taxa'!BD3:BD169,"Y", 'Data - Taxa'!$AO$3:$AO$169, "Y")+COUNTIFS('Data - Taxa'!BE3:BE169,"Y",'Data - Taxa'!BD3:BD169,"Y", 'Data - Taxa'!$AO$3:$AO$169, "Y")</f>
        <v>1</v>
      </c>
      <c r="H6" s="1">
        <f>COUNTIFS('Data - Taxa'!BE3:BE169,"Y",'Data - Taxa'!BD3:BD169,"", 'Data - Taxa'!$AQ$3:$AQ$169, "Y")+COUNTIFS('Data - Taxa'!BE3:BE169,"",'Data - Taxa'!BD3:BD169,"Y", 'Data - Taxa'!$AQ$3:$AQ$169, "Y")+COUNTIFS('Data - Taxa'!BE3:BE169,"Y",'Data - Taxa'!BD3:BD169,"Y", 'Data - Taxa'!$AQ$3:$AQ$169, "Y")</f>
        <v>11</v>
      </c>
      <c r="I6">
        <f>COUNTIFS('Data - Taxa'!BE3:BE169,"Y",'Data - Taxa'!BD3:BD169,"", 'Data - Taxa'!$AN$3:$AN$169, "Y", 'Data - Taxa'!$AY$3:$AY$169, "Y")+COUNTIFS('Data - Taxa'!BE3:BE169,"",'Data - Taxa'!BD3:BD169,"Y", 'Data - Taxa'!$AN$3:$AN$169, "Y", 'Data - Taxa'!$AY$3:$AY$169, "Y")+COUNTIFS('Data - Taxa'!BE3:BE169,"Y",'Data - Taxa'!BD3:BD169,"Y", 'Data - Taxa'!$AN$3:$AN$169, "Y", 'Data - Taxa'!$AY$3:$AY$169, "Y")</f>
        <v>1</v>
      </c>
      <c r="J6">
        <f>COUNTIFS('Data - Taxa'!BE3:BE169,"Y",'Data - Taxa'!BD3:BD169,"", 'Data - Taxa'!$AO$3:$AO$169, "Y", 'Data - Taxa'!$AY$3:$AY$169, "Y")+COUNTIFS('Data - Taxa'!BE3:BE169,"",'Data - Taxa'!BD3:BD169,"Y", 'Data - Taxa'!$AO$3:$AO$169, "Y", 'Data - Taxa'!$AY$3:$AY$169, "Y")+COUNTIFS('Data - Taxa'!BE3:BE169,"Y",'Data - Taxa'!BD3:BD169,"Y", 'Data - Taxa'!$AO$3:$AO$169, "Y", 'Data - Taxa'!$AY$3:$AY$169, "Y")</f>
        <v>1</v>
      </c>
      <c r="K6">
        <f>COUNTIFS('Data - Taxa'!BE3:BE169,"Y",'Data - Taxa'!BD3:BD169,"", 'Data - Taxa'!$AQ$3:$AQ$169, "Y", 'Data - Taxa'!$AY$3:$AY$169, "Y")+COUNTIFS('Data - Taxa'!BE3:BE169,"",'Data - Taxa'!BD3:BD169,"Y", 'Data - Taxa'!$AQ$3:$AQ$169, "Y", 'Data - Taxa'!$AY$3:$AY$169, "Y")+COUNTIFS('Data - Taxa'!BE3:BE169,"Y",'Data - Taxa'!BD3:BD169,"Y", 'Data - Taxa'!$AQ$3:$AQ$169, "Y", 'Data - Taxa'!$AY$3:$AY$169, "Y")</f>
        <v>0</v>
      </c>
      <c r="L6">
        <f>COUNTIFS('Data - Taxa'!BE3:BE169,"Y",'Data - Taxa'!BD3:BD169,"",'Data - Taxa'!$AT$3:$AT$169, "Y",'Data - Taxa'!$B3:B169,"Bilateralomorpha")+COUNTIFS('Data - Taxa'!BE3:BE169,"",'Data - Taxa'!BD3:BD169,"Y",'Data - Taxa'!$AT$3:$AT$169, "Y",'Data - Taxa'!$B3:B169,"Bilateralomorpha")+COUNTIFS('Data - Taxa'!BE3:BE169,"Y",'Data - Taxa'!BD3:BD169,"Y",'Data - Taxa'!$AT$3:$AT$169, "Y",'Data - Taxa'!$B3:B169,"Bilateralomorpha")</f>
        <v>1</v>
      </c>
      <c r="M6">
        <f>COUNTIFS('Data - Taxa'!BE3:BE169,"Y",'Data - Taxa'!BD3:BD169,"",'Data - Taxa'!$AT$3:$AT$169, "Y",'Data - Taxa'!$B3:B169,"Dickinsoniomorpha")+COUNTIFS('Data - Taxa'!BE3:BE169,"",'Data - Taxa'!BD3:BD169,"Y",'Data - Taxa'!$AT$3:$AT$169, "Y",'Data - Taxa'!$B3:B169,"Dickinsoniomorpha")+COUNTIFS('Data - Taxa'!BE3:BE169,"Y",'Data - Taxa'!BD3:BD169,"Y",'Data - Taxa'!$AT$3:$AT$169, "Y",'Data - Taxa'!$B3:B169,"Dickinsoniomorpha")</f>
        <v>0</v>
      </c>
      <c r="N6">
        <f>COUNTIFS('Data - Taxa'!BE3:BE169,"Y",'Data - Taxa'!BD3:BD169,"",'Data - Taxa'!$AT$3:$AT$169, "Y",'Data - Taxa'!$B3:B169,"Kimberellamorpha")+COUNTIFS('Data - Taxa'!BE3:BE169,"",'Data - Taxa'!BD3:BD169,"Y",'Data - Taxa'!$AT$3:$AT$169, "Y",'Data - Taxa'!$B3:B169,"Kimberellamorpha")+COUNTIFS('Data - Taxa'!BE3:BE169,"Y",'Data - Taxa'!BD3:BD169,"Y",'Data - Taxa'!$AT$3:$AT$169, "Y",'Data - Taxa'!$B3:B169,"Kimberellamorpha")</f>
        <v>0</v>
      </c>
      <c r="O6" s="1">
        <f>COUNTIFS('Data - Localities'!K3:K33,"Y",'Data - Localities'!$E3:$E33,"&lt;&gt;")+COUNTIFS('Data - Localities'!J3:J33,"Y",'Data - Localities'!$E3:$E33,"&lt;&gt;")</f>
        <v>0</v>
      </c>
      <c r="P6" s="1">
        <f>COUNTIFS('Data - Localities'!K3:K33,"Y",'Data - Localities'!$F3:$F33,"&lt;&gt;")+COUNTIFS('Data - Localities'!J3:J33,"Y",'Data - Localities'!$F3:$F33,"&lt;&gt;")</f>
        <v>1</v>
      </c>
      <c r="Q6">
        <f>COUNTIFS('Data - Taxa'!BE3:BE169,"Y",'Data - Taxa'!BD3:BD169,"",'Data - Taxa'!$AT$3:$AT$169, "Y", 'Data - Taxa'!$AK$3:$AK$169, "Y")+COUNTIFS('Data - Taxa'!BE3:BE169,"",'Data - Taxa'!BD3:BD169,"Y",'Data - Taxa'!$AT$3:$AT$169, "Y", 'Data - Taxa'!$AK$3:$AK$169, "Y")+COUNTIFS('Data - Taxa'!BE3:BE169,"Y",'Data - Taxa'!BD3:BD169,"Y",'Data - Taxa'!$AT$3:$AT$169, "Y", 'Data - Taxa'!$AK$3:$AK$169, "Y")</f>
        <v>0</v>
      </c>
      <c r="R6">
        <f>COUNTIFS('Data - Taxa'!BE3:BE169,"Y",'Data - Taxa'!BD3:BD169,"",'Data - Taxa'!$AT$3:$AT$169, "Y", 'Data - Taxa'!$AL$3:$AL$169, "Y")+COUNTIFS('Data - Taxa'!BE3:BE169,"",'Data - Taxa'!BD3:BD169,"Y",'Data - Taxa'!$AT$3:$AT$169, "Y", 'Data - Taxa'!$AL$3:$AL$169, "Y")+COUNTIFS('Data - Taxa'!BE3:BE169,"Y",'Data - Taxa'!BD3:BD169,"Y",'Data - Taxa'!$AT$3:$AT$169, "Y", 'Data - Taxa'!$AL$3:$AL$169, "Y")</f>
        <v>1</v>
      </c>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row>
    <row r="7" spans="1:138" x14ac:dyDescent="0.35">
      <c r="A7" s="1">
        <v>70</v>
      </c>
      <c r="B7" s="1">
        <f>COUNTA('Data - Localities'!I3:I33)+COUNTA('Data - Localities'!H3:H33)</f>
        <v>5</v>
      </c>
      <c r="C7" s="1">
        <f>COUNTIFS('Data - Taxa'!BC3:BC169,"Y",'Data - Taxa'!BB3:BB169,"")+COUNTIFS('Data - Taxa'!BC3:BC169,"",'Data - Taxa'!BB3:BB169,"Y")+COUNTIFS('Data - Taxa'!BC3:BC169,"Y",'Data - Taxa'!BB3:BB169,"Y")</f>
        <v>42</v>
      </c>
      <c r="D7">
        <f>COUNTIFS('Data - Taxa'!BC3:BC169,"Y",'Data - Taxa'!BB3:BB169,"",'Data - Taxa'!$AT$3:$AT$169, "Y")+COUNTIFS('Data - Taxa'!BC3:BC169,"",'Data - Taxa'!BB3:BB169,"Y",'Data - Taxa'!$AT$3:$AT$169, "Y")+COUNTIFS('Data - Taxa'!BC3:BC169,"Y",'Data - Taxa'!BB3:BB169,"Y",'Data - Taxa'!$AT$3:$AT$169, "Y")</f>
        <v>1</v>
      </c>
      <c r="E7">
        <f>COUNTIFS('Data - Taxa'!BC3:BC169,"Y",'Data - Taxa'!BB3:BB169,"", 'Data - Taxa'!$AT$3:$AT$169, "")+COUNTIFS('Data - Taxa'!BC3:BC169,"",'Data - Taxa'!BB3:BB169,"Y", 'Data - Taxa'!$AT$3:$AT$169, "")+COUNTIFS('Data - Taxa'!BC3:BC169,"Y",'Data - Taxa'!BB3:BB169,"Y", 'Data - Taxa'!$AT$3:$AT$169, "")</f>
        <v>41</v>
      </c>
      <c r="F7">
        <f>COUNTIFS('Data - Taxa'!BC3:BC169,"Y",'Data - Taxa'!BB3:BB169,"", 'Data - Taxa'!$AN$3:$AN$169, "Y")+COUNTIFS('Data - Taxa'!BC3:BC169,"",'Data - Taxa'!BB3:BB169,"Y", 'Data - Taxa'!$AN$3:$AN$169, "Y")+COUNTIFS('Data - Taxa'!BC3:BC169,"Y",'Data - Taxa'!BB3:BB169,"Y", 'Data - Taxa'!$AN$3:$AN$169, "Y")</f>
        <v>3</v>
      </c>
      <c r="G7" s="1">
        <f>COUNTIFS('Data - Taxa'!BC3:BC169,"Y",'Data - Taxa'!BB3:BB169,"", 'Data - Taxa'!$AO$3:$AO$169, "Y")+COUNTIFS('Data - Taxa'!BC3:BC169,"",'Data - Taxa'!BB3:BB169,"Y", 'Data - Taxa'!$AO$3:$AO$169, "Y")+COUNTIFS('Data - Taxa'!BC3:BC169,"Y",'Data - Taxa'!BB3:BB169,"Y", 'Data - Taxa'!$AO$3:$AO$169, "Y")</f>
        <v>5</v>
      </c>
      <c r="H7" s="1">
        <f>COUNTIFS('Data - Taxa'!BC3:BC169,"Y",'Data - Taxa'!BB3:BB169,"", 'Data - Taxa'!$AQ$3:$AQ$169, "Y")+COUNTIFS('Data - Taxa'!BC3:BC169,"",'Data - Taxa'!BB3:BB169,"Y", 'Data - Taxa'!$AQ$3:$AQ$169, "Y")+COUNTIFS('Data - Taxa'!BC3:BC169,"Y",'Data - Taxa'!BB3:BB169,"Y", 'Data - Taxa'!$AQ$3:$AQ$169, "Y")</f>
        <v>29</v>
      </c>
      <c r="I7">
        <f>COUNTIFS('Data - Taxa'!BC3:BC169,"Y",'Data - Taxa'!BB3:BB169,"", 'Data - Taxa'!$AN$3:$AN$169, "Y", 'Data - Taxa'!$AY$3:$AY$169, "Y")+COUNTIFS('Data - Taxa'!BC3:BC169,"",'Data - Taxa'!BB3:BB169,"Y", 'Data - Taxa'!$AN$3:$AN$169, "Y", 'Data - Taxa'!$AY$3:$AY$169, "Y")+COUNTIFS('Data - Taxa'!BC3:BC169,"Y",'Data - Taxa'!BB3:BB169,"Y", 'Data - Taxa'!$AN$3:$AN$169, "Y", 'Data - Taxa'!$AY$3:$AY$169, "Y")</f>
        <v>2</v>
      </c>
      <c r="J7">
        <f>COUNTIFS('Data - Taxa'!BC3:BC169,"Y",'Data - Taxa'!BB3:BB169,"", 'Data - Taxa'!$AO$3:$AO$169, "Y", 'Data - Taxa'!$AY$3:$AY$169, "Y")+COUNTIFS('Data - Taxa'!BC3:BC169,"",'Data - Taxa'!BB3:BB169,"Y", 'Data - Taxa'!$AO$3:$AO$169, "Y", 'Data - Taxa'!$AY$3:$AY$169, "Y")+COUNTIFS('Data - Taxa'!BC3:BC169,"Y",'Data - Taxa'!BB3:BB169,"Y", 'Data - Taxa'!$AO$3:$AO$169, "Y", 'Data - Taxa'!$AY$3:$AY$169, "Y")</f>
        <v>4</v>
      </c>
      <c r="K7">
        <f>COUNTIFS('Data - Taxa'!BC3:BC169,"Y",'Data - Taxa'!BB3:BB169,"", 'Data - Taxa'!$AQ$3:$AQ$169, "Y", 'Data - Taxa'!$AY$3:$AY$169, "Y")+COUNTIFS('Data - Taxa'!BC3:BC169,"",'Data - Taxa'!BB3:BB169,"Y", 'Data - Taxa'!$AQ$3:$AQ$169, "Y", 'Data - Taxa'!$AY$3:$AY$169, "Y")+COUNTIFS('Data - Taxa'!BC3:BC169,"Y",'Data - Taxa'!BB3:BB169,"Y", 'Data - Taxa'!$AQ$3:$AQ$169, "Y", 'Data - Taxa'!$AY$3:$AY$169, "Y")</f>
        <v>1</v>
      </c>
      <c r="L7">
        <f>COUNTIFS('Data - Taxa'!BC3:BC169,"Y",'Data - Taxa'!BB3:BB169,"",'Data - Taxa'!$AT$3:$AT$169, "Y",'Data - Taxa'!$B3:B169,"Bilateralomorpha")+COUNTIFS('Data - Taxa'!BC3:BC169,"",'Data - Taxa'!BB3:BB169,"Y",'Data - Taxa'!$AT$3:$AT$169, "Y",'Data - Taxa'!$B3:B169,"Bilateralomorpha")+COUNTIFS('Data - Taxa'!BC3:BC169,"Y",'Data - Taxa'!BB3:BB169,"Y",'Data - Taxa'!$AT$3:$AT$169, "Y",'Data - Taxa'!$B3:B169,"Bilateralomorpha")</f>
        <v>1</v>
      </c>
      <c r="M7">
        <f>COUNTIFS('Data - Taxa'!BC3:BC169,"Y",'Data - Taxa'!BB3:BB169,"",'Data - Taxa'!$AT$3:$AT$169, "Y",'Data - Taxa'!$B3:B169,"Dickinsoniomorpha")+COUNTIFS('Data - Taxa'!BC3:BC169,"",'Data - Taxa'!BB3:BB169,"Y",'Data - Taxa'!$AT$3:$AT$169, "Y",'Data - Taxa'!$B3:B169,"Dickinsoniomorpha")+COUNTIFS('Data - Taxa'!BC3:BC169,"Y",'Data - Taxa'!BB3:BB169,"Y",'Data - Taxa'!$AT$3:$AT$169, "Y",'Data - Taxa'!$B3:B169,"Dickinsoniomorpha")</f>
        <v>0</v>
      </c>
      <c r="N7">
        <f>COUNTIFS('Data - Taxa'!BC3:BC169,"Y",'Data - Taxa'!BB3:BB169,"",'Data - Taxa'!$AT$3:$AT$169, "Y",'Data - Taxa'!$B3:B169,"Kimberellamorpha")+COUNTIFS('Data - Taxa'!BC3:BC169,"",'Data - Taxa'!BB3:BB169,"Y",'Data - Taxa'!$AT$3:$AT$169, "Y",'Data - Taxa'!$B3:B169,"Kimberellamorpha")+COUNTIFS('Data - Taxa'!BC3:BC169,"Y",'Data - Taxa'!BB3:BB169,"Y",'Data - Taxa'!$AT$3:$AT$169, "Y",'Data - Taxa'!$B3:B169,"Kimberellamorpha")</f>
        <v>0</v>
      </c>
      <c r="O7" s="1">
        <f>COUNTIFS('Data - Localities'!I3:I33,"Y",'Data - Localities'!$E3:$E33,"&lt;&gt;")+COUNTIFS('Data - Localities'!H3:H33,"Y",'Data - Localities'!$E3:$E33,"&lt;&gt;")</f>
        <v>2</v>
      </c>
      <c r="P7" s="1">
        <f>COUNTIFS('Data - Localities'!I3:I33,"Y",'Data - Localities'!$F3:$F33,"&lt;&gt;")+COUNTIFS('Data - Localities'!H3:H33,"Y",'Data - Localities'!$F3:$F33,"&lt;&gt;")</f>
        <v>4</v>
      </c>
      <c r="Q7">
        <f>COUNTIFS('Data - Taxa'!BC3:BC169,"Y",'Data - Taxa'!BB3:BB169,"",'Data - Taxa'!$AT$3:$AT$169, "Y", 'Data - Taxa'!$AK$3:$AK$169, "Y")+COUNTIFS('Data - Taxa'!BC3:BC169,"",'Data - Taxa'!BB3:BB169,"Y",'Data - Taxa'!$AT$3:$AT$169, "Y", 'Data - Taxa'!$AK$3:$AK$169, "Y")+COUNTIFS('Data - Taxa'!BC3:BC169,"Y",'Data - Taxa'!BB3:BB169,"Y",'Data - Taxa'!$AT$3:$AT$169, "Y", 'Data - Taxa'!$AK$3:$AK$169, "Y")</f>
        <v>0</v>
      </c>
      <c r="R7">
        <f>COUNTIFS('Data - Taxa'!BC3:BC169,"Y",'Data - Taxa'!BB3:BB169,"",'Data - Taxa'!$AT$3:$AT$169, "Y", 'Data - Taxa'!$AL$3:$AL$169, "Y")+COUNTIFS('Data - Taxa'!BC3:BC169,"",'Data - Taxa'!BB3:BB169,"Y",'Data - Taxa'!$AT$3:$AT$169, "Y", 'Data - Taxa'!$AL$3:$AL$169, "Y")+COUNTIFS('Data - Taxa'!BC3:BC169,"Y",'Data - Taxa'!BB3:BB169,"Y",'Data - Taxa'!$AT$3:$AT$169, "Y", 'Data - Taxa'!$AL$3:$AL$169, "Y")</f>
        <v>1</v>
      </c>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row>
    <row r="8" spans="1:138" x14ac:dyDescent="0.35">
      <c r="A8" s="1">
        <v>90</v>
      </c>
      <c r="B8" s="1">
        <f>COUNTA('Data - Localities'!G3:G33)</f>
        <v>0</v>
      </c>
      <c r="C8" s="1">
        <f>COUNTIF('Data - Taxa'!BA3:BA169, "Y")</f>
        <v>0</v>
      </c>
      <c r="D8">
        <f>COUNTIFS('Data - Taxa'!$BA$3:$BA$169, "Y", 'Data - Taxa'!$AT$3:$AT$169, "Y")</f>
        <v>0</v>
      </c>
      <c r="E8">
        <f>COUNTIFS('Data - Taxa'!$BA$3:$BA$169, "Y", 'Data - Taxa'!$AT$3:$AT$169, "")</f>
        <v>0</v>
      </c>
      <c r="F8">
        <f>COUNTIFS('Data - Taxa'!$BA$3:$BA$169, "Y", 'Data - Taxa'!$AN$3:$AN$169, "Y")</f>
        <v>0</v>
      </c>
      <c r="G8" s="1">
        <f>COUNTIFS('Data - Taxa'!$BA$3:$BA$169, "Y", 'Data - Taxa'!$AO$3:$AO$169, "Y")</f>
        <v>0</v>
      </c>
      <c r="H8" s="1">
        <f>COUNTIFS('Data - Taxa'!$BA$3:$BA$169, "Y", 'Data - Taxa'!$AQ$3:$AQ$169, "Y")</f>
        <v>0</v>
      </c>
      <c r="I8">
        <f>COUNTIFS('Data - Taxa'!$BA$3:$BA$169, "Y", 'Data - Taxa'!$AN$3:$AN$169, "Y", 'Data - Taxa'!$AY$3:$AY$169, "Y")</f>
        <v>0</v>
      </c>
      <c r="J8">
        <f>COUNTIFS('Data - Taxa'!$BA$3:$BA$169, "Y", 'Data - Taxa'!$AO$3:$AO$169, "Y", 'Data - Taxa'!$AY$3:$AY$169, "Y")</f>
        <v>0</v>
      </c>
      <c r="K8">
        <f>COUNTIFS('Data - Taxa'!$BA$3:$BA$169, "Y", 'Data - Taxa'!$AQ$3:$AQ$169, "Y", 'Data - Taxa'!$AY$3:$AY$169, "Y")</f>
        <v>0</v>
      </c>
      <c r="L8">
        <f>COUNTIFS('Data - Taxa'!$BA$3:$BA$169, "Y", 'Data - Taxa'!$AT$3:$AT$169, "Y",'Data - Taxa'!$B3:B169,"Bilateralomorpha")</f>
        <v>0</v>
      </c>
      <c r="M8">
        <f>COUNTIFS('Data - Taxa'!$BA$3:$BA$169, "Y", 'Data - Taxa'!$AT$3:$AT$169, "Y",'Data - Taxa'!$B3:B169,"Dickinsoniomorpha")</f>
        <v>0</v>
      </c>
      <c r="N8">
        <f>COUNTIFS('Data - Taxa'!$BA$3:$BA$169, "Y", 'Data - Taxa'!$AT$3:$AT$169, "Y",'Data - Taxa'!$B3:B169,"Kimberellamorpha")</f>
        <v>0</v>
      </c>
      <c r="O8" s="1">
        <f>COUNTIFS('Data - Localities'!G3:G33,"Y",'Data - Localities'!$E3:$E33,"&lt;&gt;")</f>
        <v>0</v>
      </c>
      <c r="P8" s="1">
        <f>COUNTIFS('Data - Localities'!G3:G33,"Y",'Data - Localities'!$F3:$F33,"&lt;&gt;")</f>
        <v>0</v>
      </c>
      <c r="Q8">
        <f>COUNTIFS('Data - Taxa'!$BA$3:$BA$169, "Y", 'Data - Taxa'!$AT$3:$AT$169, "Y", 'Data - Taxa'!$AK$3:$AK$169, "Y")</f>
        <v>0</v>
      </c>
      <c r="R8">
        <f>COUNTIFS('Data - Taxa'!$BA$3:$BA$169, "Y", 'Data - Taxa'!$AT$3:$AT$169, "Y", 'Data - Taxa'!$AL$3:$AL$169, "Y")</f>
        <v>0</v>
      </c>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row>
    <row r="9" spans="1:138" x14ac:dyDescent="0.35">
      <c r="A9" s="38" t="s">
        <v>302</v>
      </c>
      <c r="B9" s="38">
        <f>SUM(B4:B8)</f>
        <v>31</v>
      </c>
      <c r="C9" s="38">
        <f>SUM(C4:C8)</f>
        <v>240</v>
      </c>
      <c r="D9" s="38">
        <f>SUM(D4:D8)</f>
        <v>35</v>
      </c>
      <c r="E9" s="38">
        <f t="shared" ref="E9:K9" si="0">SUM(E4:E8)</f>
        <v>205</v>
      </c>
      <c r="F9" s="38">
        <f t="shared" si="0"/>
        <v>14</v>
      </c>
      <c r="G9" s="122">
        <f t="shared" si="0"/>
        <v>16</v>
      </c>
      <c r="H9" s="122">
        <f t="shared" si="0"/>
        <v>169</v>
      </c>
      <c r="I9" s="38">
        <f t="shared" si="0"/>
        <v>8</v>
      </c>
      <c r="J9" s="38">
        <f t="shared" si="0"/>
        <v>14</v>
      </c>
      <c r="K9" s="38">
        <f t="shared" si="0"/>
        <v>15</v>
      </c>
      <c r="L9" s="38">
        <f>SUM(L4:L8)</f>
        <v>22</v>
      </c>
      <c r="M9" s="38">
        <f>SUM(M4:M8)</f>
        <v>10</v>
      </c>
      <c r="N9" s="38">
        <f>SUM(N4:N8)</f>
        <v>3</v>
      </c>
      <c r="O9" s="38">
        <f>SUM(O4:O8)</f>
        <v>13</v>
      </c>
      <c r="P9" s="38">
        <f>SUM(P4:P8)</f>
        <v>17</v>
      </c>
      <c r="Q9" s="38">
        <f t="shared" ref="Q9:R9" si="1">SUM(Q4:Q8)</f>
        <v>30</v>
      </c>
      <c r="R9" s="38">
        <f t="shared" si="1"/>
        <v>9</v>
      </c>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row>
    <row r="10" spans="1:138" x14ac:dyDescent="0.35">
      <c r="A10" s="6"/>
      <c r="B10" s="6"/>
      <c r="C10" s="6"/>
      <c r="D10" s="6"/>
      <c r="E10" s="6"/>
      <c r="F10" s="6"/>
      <c r="G10" s="17"/>
      <c r="H10" s="17"/>
      <c r="I10" s="6"/>
      <c r="J10" s="6"/>
      <c r="K10" s="6"/>
      <c r="L10" s="6"/>
      <c r="M10" s="6"/>
      <c r="N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row>
    <row r="11" spans="1:138" x14ac:dyDescent="0.35">
      <c r="A11" t="s">
        <v>539</v>
      </c>
      <c r="P11" s="6"/>
      <c r="Q11" s="6"/>
      <c r="R11" s="6"/>
      <c r="S11" s="6"/>
      <c r="T11" s="6"/>
      <c r="U11" s="6"/>
      <c r="V11" s="17"/>
      <c r="W11" s="17"/>
      <c r="X11" s="6"/>
      <c r="Y11" s="6"/>
      <c r="Z11" s="6"/>
      <c r="AA11" s="6"/>
      <c r="AB11" s="6"/>
      <c r="AC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row>
    <row r="12" spans="1:138" ht="172.5" customHeight="1" x14ac:dyDescent="0.35">
      <c r="A12" s="121" t="s">
        <v>303</v>
      </c>
      <c r="B12" s="121" t="s">
        <v>301</v>
      </c>
      <c r="C12" s="121" t="s">
        <v>304</v>
      </c>
      <c r="D12" s="120" t="s">
        <v>173</v>
      </c>
      <c r="E12" s="120" t="s">
        <v>387</v>
      </c>
      <c r="F12" s="120" t="s">
        <v>305</v>
      </c>
      <c r="G12" s="121" t="s">
        <v>327</v>
      </c>
      <c r="H12" s="121" t="s">
        <v>328</v>
      </c>
      <c r="I12" s="120" t="s">
        <v>307</v>
      </c>
      <c r="J12" s="120" t="s">
        <v>306</v>
      </c>
      <c r="K12" s="120" t="s">
        <v>308</v>
      </c>
      <c r="L12" s="120" t="s">
        <v>18</v>
      </c>
      <c r="M12" s="120" t="s">
        <v>9</v>
      </c>
      <c r="N12" s="120" t="s">
        <v>83</v>
      </c>
      <c r="P12" s="6"/>
      <c r="Q12" s="6"/>
      <c r="R12" s="6"/>
      <c r="S12" s="6"/>
      <c r="T12" s="6"/>
      <c r="U12" s="6"/>
      <c r="V12" s="17"/>
      <c r="W12" s="17"/>
      <c r="X12" s="6"/>
      <c r="Y12" s="6"/>
      <c r="Z12" s="6"/>
      <c r="AA12" s="6"/>
      <c r="AB12" s="6"/>
      <c r="AC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row>
    <row r="13" spans="1:138" x14ac:dyDescent="0.35">
      <c r="A13" s="1">
        <v>10</v>
      </c>
      <c r="B13" s="1">
        <f>COUNTA('Data - Localities'!Z3:Z33)+COUNTA('Data - Localities'!Y3:Y33)</f>
        <v>8</v>
      </c>
      <c r="C13" s="1">
        <f>COUNTIFS('Data - Taxa'!BT3:BT169,"Y",'Data - Taxa'!BS3:BS169,"")+COUNTIFS('Data - Taxa'!BT3:BT169,"",'Data - Taxa'!BS3:BS169,"Y")+COUNTIFS('Data - Taxa'!BT3:BT169,"Y",'Data - Taxa'!BS3:BS169,"Y")</f>
        <v>64</v>
      </c>
      <c r="D13">
        <f>COUNTIFS('Data - Taxa'!BT3:BT169,"Y",'Data - Taxa'!BS3:BS169,"",'Data - Taxa'!$AT$3:$AT$169, "Y")+COUNTIFS('Data - Taxa'!BT3:BT169,"",'Data - Taxa'!BS3:BS169,"Y",'Data - Taxa'!$AT$3:$AT$169, "Y")+COUNTIFS('Data - Taxa'!BT3:BT169,"Y",'Data - Taxa'!BS3:BS169,"Y",'Data - Taxa'!$AT$3:$AT$169, "Y")</f>
        <v>11</v>
      </c>
      <c r="E13">
        <f>COUNTIFS('Data - Taxa'!BT3:BT169,"Y",'Data - Taxa'!BS3:BS169,"", 'Data - Taxa'!$AT$3:$AT$169, "")+COUNTIFS('Data - Taxa'!BT3:BT169,"",'Data - Taxa'!BS3:BS169,"Y", 'Data - Taxa'!$AT$3:$AT$169, "")+COUNTIFS('Data - Taxa'!BT3:BT169,"Y",'Data - Taxa'!BS3:BS169,"Y", 'Data - Taxa'!$AT$3:$AT$169, "")</f>
        <v>53</v>
      </c>
      <c r="F13">
        <f>COUNTIFS('Data - Taxa'!BT3:BT169,"Y",'Data - Taxa'!BS3:BS169,"", 'Data - Taxa'!$AN$3:$AN$169, "Y")+COUNTIFS('Data - Taxa'!BT3:BT169,"",'Data - Taxa'!BS3:BS169,"Y", 'Data - Taxa'!$AN$3:$AN$169, "Y")+COUNTIFS('Data - Taxa'!BT3:BT169,"Y",'Data - Taxa'!BS3:BS169,"Y", 'Data - Taxa'!$AN$3:$AN$169, "Y")</f>
        <v>2</v>
      </c>
      <c r="G13" s="1">
        <f>COUNTIFS('Data - Taxa'!BT3:BT169,"Y",'Data - Taxa'!BS3:BS169,"", 'Data - Taxa'!$AO$3:$AO$169, "Y")+COUNTIFS('Data - Taxa'!BT3:BT169,"",'Data - Taxa'!BS3:BS169,"Y", 'Data - Taxa'!$AO$3:$AO$169, "Y")+COUNTIFS('Data - Taxa'!BT3:BT169,"Y",'Data - Taxa'!BS3:BS169,"Y", 'Data - Taxa'!$AO$3:$AO$169, "Y")</f>
        <v>7</v>
      </c>
      <c r="H13" s="1">
        <f>COUNTIFS('Data - Taxa'!BT3:BT169,"Y",'Data - Taxa'!BS3:BS169,"", 'Data - Taxa'!$AQ$3:$AQ$169, "Y")+COUNTIFS('Data - Taxa'!BT3:BT169,"",'Data - Taxa'!BS3:BS169,"Y", 'Data - Taxa'!$AQ$3:$AQ$169, "Y")+COUNTIFS('Data - Taxa'!BT3:BT169,"Y",'Data - Taxa'!BS3:BS169,"Y", 'Data - Taxa'!$AQ$3:$AQ$169, "Y")</f>
        <v>46</v>
      </c>
      <c r="I13">
        <f>COUNTIFS('Data - Taxa'!BT3:BT169,"Y",'Data - Taxa'!BS3:BS169,"", 'Data - Taxa'!$AN$3:$AN$169, "Y", 'Data - Taxa'!$AY$3:$AY$169, "Y")+COUNTIFS('Data - Taxa'!BT3:BT169,"",'Data - Taxa'!BS3:BS169,"Y", 'Data - Taxa'!$AN$3:$AN$169, "Y", 'Data - Taxa'!$AY$3:$AY$169, "Y")+COUNTIFS('Data - Taxa'!BT3:BT169,"Y",'Data - Taxa'!BS3:BS169,"Y", 'Data - Taxa'!$AN$3:$AN$169, "Y", 'Data - Taxa'!$AY$3:$AY$169, "Y")</f>
        <v>1</v>
      </c>
      <c r="J13">
        <f>COUNTIFS('Data - Taxa'!BT3:BT169,"Y",'Data - Taxa'!BS3:BS169,"", 'Data - Taxa'!$AO$3:$AO$169, "Y", 'Data - Taxa'!$AY$3:$AY$169, "Y")+COUNTIFS('Data - Taxa'!BT3:BT169,"",'Data - Taxa'!BS3:BS169,"Y", 'Data - Taxa'!$AO$3:$AO$169, "Y", 'Data - Taxa'!$AY$3:$AY$169, "Y")+COUNTIFS('Data - Taxa'!BT3:BT169,"Y",'Data - Taxa'!BS3:BS169,"Y", 'Data - Taxa'!$AO$3:$AO$169, "Y", 'Data - Taxa'!$AY$3:$AY$169, "Y")</f>
        <v>6</v>
      </c>
      <c r="K13">
        <f>COUNTIFS('Data - Taxa'!BT3:BT169,"Y",'Data - Taxa'!BS3:BS169,"", 'Data - Taxa'!$AQ$3:$AQ$169, "Y", 'Data - Taxa'!$AY$3:$AY$169, "Y")+COUNTIFS('Data - Taxa'!BT3:BT169,"",'Data - Taxa'!BS3:BS169,"Y", 'Data - Taxa'!$AQ$3:$AQ$169, "Y", 'Data - Taxa'!$AY$3:$AY$169, "Y")+COUNTIFS('Data - Taxa'!BT3:BT169,"Y",'Data - Taxa'!BS3:BS169,"Y", 'Data - Taxa'!$AQ$3:$AQ$169, "Y", 'Data - Taxa'!$AY$3:$AY$169, "Y")</f>
        <v>6</v>
      </c>
      <c r="L13">
        <f>COUNTIFS('Data - Taxa'!BT3:BT169,"Y",'Data - Taxa'!BS3:BS169,"",'Data - Taxa'!$AT$3:$AT$169, "Y",'Data - Taxa'!$B3:B169,"Bilateralomorpha")+COUNTIFS('Data - Taxa'!BT3:BT169,"",'Data - Taxa'!BS3:BS169,"Y",'Data - Taxa'!$AT$3:$AT$169, "Y",'Data - Taxa'!$B3:B169,"Bilateralomorpha")+COUNTIFS('Data - Taxa'!BT3:BT169,"Y",'Data - Taxa'!BS3:BS169,"Y",'Data - Taxa'!$AT$3:$AT$169, "Y",'Data - Taxa'!$B3:B169,"Bilateralomorpha")</f>
        <v>7</v>
      </c>
      <c r="M13">
        <f>COUNTIFS('Data - Taxa'!BT3:BT169,"Y",'Data - Taxa'!BS3:BS169,"",'Data - Taxa'!$AT$3:$AT$169, "Y",'Data - Taxa'!$B3:B169,"Dickinsoniomorpha")+COUNTIFS('Data - Taxa'!BT3:BT169,"",'Data - Taxa'!BS3:BS169,"Y",'Data - Taxa'!$AT$3:$AT$169, "Y",'Data - Taxa'!$B3:B169,"Dickinsoniomorpha")+COUNTIFS('Data - Taxa'!BT3:BT169,"Y",'Data - Taxa'!BS3:BS169,"Y",'Data - Taxa'!$AT$3:$AT$169, "Y",'Data - Taxa'!$B3:B169,"Dickinsoniomorpha")</f>
        <v>3</v>
      </c>
      <c r="N13">
        <f>COUNTIFS('Data - Taxa'!BT3:BT169,"Y",'Data - Taxa'!BS3:BS169,"",'Data - Taxa'!$AT$3:$AT$169, "Y",'Data - Taxa'!$B3:B169,"Kimberellamorpha")+COUNTIFS('Data - Taxa'!BT3:BT169,"",'Data - Taxa'!BS3:BS169,"Y",'Data - Taxa'!$AT$3:$AT$169, "Y",'Data - Taxa'!$B3:B169,"Kimberellamorpha")+COUNTIFS('Data - Taxa'!BT3:BT169,"Y",'Data - Taxa'!BS3:BS169,"Y",'Data - Taxa'!$AT$3:$AT$169, "Y",'Data - Taxa'!$B3:B169,"Kimberellamorpha")</f>
        <v>1</v>
      </c>
      <c r="P13" s="6"/>
      <c r="Q13" s="6"/>
      <c r="R13" s="6"/>
      <c r="S13" s="6"/>
      <c r="T13" s="6"/>
      <c r="U13" s="6"/>
      <c r="V13" s="17"/>
      <c r="W13" s="17"/>
      <c r="X13" s="6"/>
      <c r="Y13" s="6"/>
      <c r="Z13" s="6"/>
      <c r="AA13" s="6"/>
      <c r="AB13" s="6"/>
      <c r="AC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row>
    <row r="14" spans="1:138" x14ac:dyDescent="0.35">
      <c r="A14" s="1">
        <v>30</v>
      </c>
      <c r="B14" s="1">
        <f>COUNTA('Data - Localities'!X3:X33)+COUNTA('Data - Localities'!W3:W33)</f>
        <v>11</v>
      </c>
      <c r="C14" s="1">
        <f>COUNTIFS('Data - Taxa'!BR3:BR169,"Y",'Data - Taxa'!BQ3:BQ169,"")+COUNTIFS('Data - Taxa'!BR3:BR169,"",'Data - Taxa'!BQ3:BQ169,"Y")+COUNTIFS('Data - Taxa'!BR3:BR169,"Y",'Data - Taxa'!BQ3:BQ169,"Y")</f>
        <v>63</v>
      </c>
      <c r="D14">
        <f>COUNTIFS('Data - Taxa'!BR3:BR169,"Y",'Data - Taxa'!BQ3:BQ169,"",'Data - Taxa'!$AT$3:$AT$169, "Y")+COUNTIFS('Data - Taxa'!BR3:BR169,"",'Data - Taxa'!BQ3:BQ169,"Y",'Data - Taxa'!$AT$3:$AT$169, "Y")+COUNTIFS('Data - Taxa'!BR3:BR169,"Y",'Data - Taxa'!BQ3:BQ169,"Y",'Data - Taxa'!$AT$3:$AT$169, "Y")</f>
        <v>4</v>
      </c>
      <c r="E14">
        <f>COUNTIFS('Data - Taxa'!BR3:BR169,"Y",'Data - Taxa'!BQ3:BQ169,"", 'Data - Taxa'!$AT$3:$AT$169, "")+COUNTIFS('Data - Taxa'!BR3:BR169,"",'Data - Taxa'!BQ3:BQ169,"Y", 'Data - Taxa'!$AT$3:$AT$169, "")+COUNTIFS('Data - Taxa'!BR3:BR169,"Y",'Data - Taxa'!BQ3:BQ169,"Y", 'Data - Taxa'!$AT$3:$AT$169, "")</f>
        <v>59</v>
      </c>
      <c r="F14">
        <f>COUNTIFS('Data - Taxa'!BR3:BR169,"Y",'Data - Taxa'!BQ3:BQ169,"", 'Data - Taxa'!$AN$3:$AN$169, "Y")+COUNTIFS('Data - Taxa'!BR3:BR169,"",'Data - Taxa'!BQ3:BQ169,"Y", 'Data - Taxa'!$AN$3:$AN$169, "Y")+COUNTIFS('Data - Taxa'!BR3:BR169,"Y",'Data - Taxa'!BQ3:BQ169,"Y", 'Data - Taxa'!$AN$3:$AN$169, "Y")</f>
        <v>6</v>
      </c>
      <c r="G14" s="1">
        <f>COUNTIFS('Data - Taxa'!BR3:BR169,"Y",'Data - Taxa'!BQ3:BQ169,"", 'Data - Taxa'!$AO$3:$AO$169, "Y")+COUNTIFS('Data - Taxa'!BR3:BR169,"",'Data - Taxa'!BQ3:BQ169,"Y", 'Data - Taxa'!$AO$3:$AO$169, "Y")+COUNTIFS('Data - Taxa'!BR3:BR169,"Y",'Data - Taxa'!BQ3:BQ169,"Y", 'Data - Taxa'!$AO$3:$AO$169, "Y")</f>
        <v>3</v>
      </c>
      <c r="H14" s="1">
        <f>COUNTIFS('Data - Taxa'!BR3:BR169,"Y",'Data - Taxa'!BQ3:BQ169,"", 'Data - Taxa'!$AQ$3:$AQ$169, "Y")+COUNTIFS('Data - Taxa'!BR3:BR169,"",'Data - Taxa'!BQ3:BQ169,"Y", 'Data - Taxa'!$AQ$3:$AQ$169, "Y")+COUNTIFS('Data - Taxa'!BR3:BR169,"Y",'Data - Taxa'!BQ3:BQ169,"Y", 'Data - Taxa'!$AQ$3:$AQ$169, "Y")</f>
        <v>34</v>
      </c>
      <c r="I14">
        <f>COUNTIFS('Data - Taxa'!BR3:BR169,"Y",'Data - Taxa'!BQ3:BQ169,"", 'Data - Taxa'!$AN$3:$AN$169, "Y", 'Data - Taxa'!$AY$3:$AY$169, "Y")+COUNTIFS('Data - Taxa'!BR3:BR169,"",'Data - Taxa'!BQ3:BQ169,"Y", 'Data - Taxa'!$AN$3:$AN$169, "Y", 'Data - Taxa'!$AY$3:$AY$169, "Y")+COUNTIFS('Data - Taxa'!BR3:BR169,"Y",'Data - Taxa'!BQ3:BQ169,"Y", 'Data - Taxa'!$AN$3:$AN$169, "Y", 'Data - Taxa'!$AY$3:$AY$169, "Y")</f>
        <v>4</v>
      </c>
      <c r="J14">
        <f>COUNTIFS('Data - Taxa'!BR3:BR169,"Y",'Data - Taxa'!BQ3:BQ169,"", 'Data - Taxa'!$AO$3:$AO$169, "Y", 'Data - Taxa'!$AY$3:$AY$169, "Y")+COUNTIFS('Data - Taxa'!BR3:BR169,"",'Data - Taxa'!BQ3:BQ169,"Y", 'Data - Taxa'!$AO$3:$AO$169, "Y", 'Data - Taxa'!$AY$3:$AY$169, "Y")+COUNTIFS('Data - Taxa'!BR3:BR169,"Y",'Data - Taxa'!BQ3:BQ169,"Y", 'Data - Taxa'!$AO$3:$AO$169, "Y", 'Data - Taxa'!$AY$3:$AY$169, "Y")</f>
        <v>3</v>
      </c>
      <c r="K14">
        <f>COUNTIFS('Data - Taxa'!BR3:BR169,"Y",'Data - Taxa'!BQ3:BQ169,"", 'Data - Taxa'!$AQ$3:$AQ$169, "Y", 'Data - Taxa'!$AY$3:$AY$169, "Y")+COUNTIFS('Data - Taxa'!BR3:BR169,"",'Data - Taxa'!BQ3:BQ169,"Y", 'Data - Taxa'!$AQ$3:$AQ$169, "Y", 'Data - Taxa'!$AY$3:$AY$169, "Y")+COUNTIFS('Data - Taxa'!BR3:BR169,"Y",'Data - Taxa'!BQ3:BQ169,"Y", 'Data - Taxa'!$AQ$3:$AQ$169, "Y", 'Data - Taxa'!$AY$3:$AY$169, "Y")</f>
        <v>7</v>
      </c>
      <c r="L14">
        <f>COUNTIFS('Data - Taxa'!BR3:BR169,"Y",'Data - Taxa'!BQ3:BQ169,"",'Data - Taxa'!$AT$3:$AT$169, "Y",'Data - Taxa'!$B3:B169,"Bilateralomorpha")+COUNTIFS('Data - Taxa'!BR3:BR169,"",'Data - Taxa'!BQ3:BQ169,"Y",'Data - Taxa'!$AT$3:$AT$169, "Y",'Data - Taxa'!$B3:B169,"Bilateralomorpha")+COUNTIFS('Data - Taxa'!BR3:BR169,"Y",'Data - Taxa'!BQ3:BQ169,"Y",'Data - Taxa'!$AT$3:$AT$169, "Y",'Data - Taxa'!$B3:B169,"Bilateralomorpha")</f>
        <v>2</v>
      </c>
      <c r="M14">
        <f>COUNTIFS('Data - Taxa'!BR3:BR169,"Y",'Data - Taxa'!BQ3:BQ169,"",'Data - Taxa'!$AT$3:$AT$169, "Y",'Data - Taxa'!$B3:B169,"Dickinsoniomorpha")+COUNTIFS('Data - Taxa'!BR3:BR169,"",'Data - Taxa'!BQ3:BQ169,"Y",'Data - Taxa'!$AT$3:$AT$169, "Y",'Data - Taxa'!$B3:B169,"Dickinsoniomorpha")+COUNTIFS('Data - Taxa'!BR3:BR169,"Y",'Data - Taxa'!BQ3:BQ169,"Y",'Data - Taxa'!$AT$3:$AT$169, "Y",'Data - Taxa'!$B3:B169,"Dickinsoniomorpha")</f>
        <v>2</v>
      </c>
      <c r="N14">
        <f>COUNTIFS('Data - Taxa'!BR3:BR169,"Y",'Data - Taxa'!BQ3:BQ169,"",'Data - Taxa'!$AT$3:$AT$169, "Y",'Data - Taxa'!$B3:B169,"Kimberellamorpha")+COUNTIFS('Data - Taxa'!BR3:BR169,"",'Data - Taxa'!BQ3:BQ169,"Y",'Data - Taxa'!$AT$3:$AT$169, "Y",'Data - Taxa'!$B3:B169,"Kimberellamorpha")+COUNTIFS('Data - Taxa'!BR3:BR169,"Y",'Data - Taxa'!BQ3:BQ169,"Y",'Data - Taxa'!$AT$3:$AT$169, "Y",'Data - Taxa'!$B3:B169,"Kimberellamorpha")</f>
        <v>0</v>
      </c>
      <c r="P14" s="6"/>
      <c r="Q14" s="6"/>
      <c r="R14" s="6"/>
      <c r="S14" s="6"/>
      <c r="T14" s="6"/>
      <c r="U14" s="6"/>
      <c r="V14" s="17"/>
      <c r="W14" s="17"/>
      <c r="X14" s="6"/>
      <c r="Y14" s="6"/>
      <c r="Z14" s="6"/>
      <c r="AA14" s="6"/>
      <c r="AB14" s="6"/>
      <c r="AC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row>
    <row r="15" spans="1:138" x14ac:dyDescent="0.35">
      <c r="A15" s="1">
        <v>50</v>
      </c>
      <c r="B15" s="1">
        <f>COUNTA('Data - Localities'!V3:V33)+COUNTA('Data - Localities'!U3:U33)</f>
        <v>5</v>
      </c>
      <c r="C15" s="1">
        <f>COUNTIFS('Data - Taxa'!BP3:BP169,"Y",'Data - Taxa'!BO3:BO169,"")+COUNTIFS('Data - Taxa'!BP3:BP169,"",'Data - Taxa'!BO3:BO169,"Y")+COUNTIFS('Data - Taxa'!BP3:BP169,"Y",'Data - Taxa'!BO3:BO169,"Y")</f>
        <v>77</v>
      </c>
      <c r="D15">
        <f>COUNTIFS('Data - Taxa'!BP3:BP169,"Y",'Data - Taxa'!BO3:BO169,"",'Data - Taxa'!$AT$3:$AT$169, "Y")+COUNTIFS('Data - Taxa'!BP3:BP169,"",'Data - Taxa'!BO3:BO169,"Y",'Data - Taxa'!$AT$3:$AT$169, "Y")+COUNTIFS('Data - Taxa'!BP3:BP169,"Y",'Data - Taxa'!BO3:BO169,"Y",'Data - Taxa'!$AT$3:$AT$169, "Y")</f>
        <v>19</v>
      </c>
      <c r="E15">
        <f>COUNTIFS('Data - Taxa'!BP3:BP169,"Y",'Data - Taxa'!BO3:BO169,"", 'Data - Taxa'!$AT$3:$AT$169, "")+COUNTIFS('Data - Taxa'!BP3:BP169,"",'Data - Taxa'!BO3:BO169,"Y", 'Data - Taxa'!$AT$3:$AT$169, "")+COUNTIFS('Data - Taxa'!BP3:BP169,"Y",'Data - Taxa'!BO3:BO169,"Y", 'Data - Taxa'!$AT$3:$AT$169, "")</f>
        <v>58</v>
      </c>
      <c r="F15">
        <f>COUNTIFS('Data - Taxa'!BP3:BP169,"Y",'Data - Taxa'!BO3:BO169,"", 'Data - Taxa'!$AN$3:$AN$169, "Y")+COUNTIFS('Data - Taxa'!BP3:BP169,"",'Data - Taxa'!BO3:BO169,"Y", 'Data - Taxa'!$AN$3:$AN$169, "Y")+COUNTIFS('Data - Taxa'!BP3:BP169,"Y",'Data - Taxa'!BO3:BO169,"Y", 'Data - Taxa'!$AN$3:$AN$169, "Y")</f>
        <v>4</v>
      </c>
      <c r="G15" s="1">
        <f>COUNTIFS('Data - Taxa'!BP3:BP169,"Y",'Data - Taxa'!BO3:BO169,"", 'Data - Taxa'!$AO$3:$AO$169, "Y")+COUNTIFS('Data - Taxa'!BP3:BP169,"",'Data - Taxa'!BO3:BO169,"Y", 'Data - Taxa'!$AO$3:$AO$169, "Y")+COUNTIFS('Data - Taxa'!BP3:BP169,"Y",'Data - Taxa'!BO3:BO169,"Y", 'Data - Taxa'!$AO$3:$AO$169, "Y")</f>
        <v>2</v>
      </c>
      <c r="H15" s="1">
        <f>COUNTIFS('Data - Taxa'!BP3:BP169,"Y",'Data - Taxa'!BO3:BO169,"", 'Data - Taxa'!$AQ$3:$AQ$169, "Y")+COUNTIFS('Data - Taxa'!BP3:BP169,"",'Data - Taxa'!BO3:BO169,"Y", 'Data - Taxa'!$AQ$3:$AQ$169, "Y")+COUNTIFS('Data - Taxa'!BP3:BP169,"Y",'Data - Taxa'!BO3:BO169,"Y", 'Data - Taxa'!$AQ$3:$AQ$169, "Y")</f>
        <v>61</v>
      </c>
      <c r="I15">
        <f>COUNTIFS('Data - Taxa'!BP3:BP169,"Y",'Data - Taxa'!BO3:BO169,"", 'Data - Taxa'!$AN$3:$AN$169, "Y", 'Data - Taxa'!$AY$3:$AY$169, "Y")+COUNTIFS('Data - Taxa'!BP3:BP169,"",'Data - Taxa'!BO3:BO169,"Y", 'Data - Taxa'!$AN$3:$AN$169, "Y", 'Data - Taxa'!$AY$3:$AY$169, "Y")+COUNTIFS('Data - Taxa'!BP3:BP169,"Y",'Data - Taxa'!BO3:BO169,"Y", 'Data - Taxa'!$AN$3:$AN$169, "Y", 'Data - Taxa'!$AY$3:$AY$169, "Y")</f>
        <v>2</v>
      </c>
      <c r="J15">
        <f>COUNTIFS('Data - Taxa'!BP3:BP169,"Y",'Data - Taxa'!BO3:BO169,"", 'Data - Taxa'!$AO$3:$AO$169, "Y", 'Data - Taxa'!$AY$3:$AY$169, "Y")+COUNTIFS('Data - Taxa'!BP3:BP169,"",'Data - Taxa'!BO3:BO169,"Y", 'Data - Taxa'!$AO$3:$AO$169, "Y", 'Data - Taxa'!$AY$3:$AY$169, "Y")+COUNTIFS('Data - Taxa'!BP3:BP169,"Y",'Data - Taxa'!BO3:BO169,"Y", 'Data - Taxa'!$AO$3:$AO$169, "Y", 'Data - Taxa'!$AY$3:$AY$169, "Y")</f>
        <v>2</v>
      </c>
      <c r="K15">
        <f>COUNTIFS('Data - Taxa'!BP3:BP169,"Y",'Data - Taxa'!BO3:BO169,"", 'Data - Taxa'!$AQ$3:$AQ$169, "Y", 'Data - Taxa'!$AY$3:$AY$169, "Y")+COUNTIFS('Data - Taxa'!BP3:BP169,"",'Data - Taxa'!BO3:BO169,"Y", 'Data - Taxa'!$AQ$3:$AQ$169, "Y", 'Data - Taxa'!$AY$3:$AY$169, "Y")+COUNTIFS('Data - Taxa'!BP3:BP169,"Y",'Data - Taxa'!BO3:BO169,"Y", 'Data - Taxa'!$AQ$3:$AQ$169, "Y", 'Data - Taxa'!$AY$3:$AY$169, "Y")</f>
        <v>2</v>
      </c>
      <c r="L15">
        <f>COUNTIFS('Data - Taxa'!BP3:BP169,"Y",'Data - Taxa'!BO3:BO169,"",'Data - Taxa'!$AT$3:$AT$169, "Y",'Data - Taxa'!$B3:B169,"Bilateralomorpha")+COUNTIFS('Data - Taxa'!BP3:BP169,"",'Data - Taxa'!BO3:BO169,"Y",'Data - Taxa'!$AT$3:$AT$169, "Y",'Data - Taxa'!$B3:B169,"Bilateralomorpha")+COUNTIFS('Data - Taxa'!BP3:BP169,"Y",'Data - Taxa'!BO3:BO169,"Y",'Data - Taxa'!$AT$3:$AT$169, "Y",'Data - Taxa'!$B3:B169,"Bilateralomorpha")</f>
        <v>12</v>
      </c>
      <c r="M15">
        <f>COUNTIFS('Data - Taxa'!BP3:BP169,"Y",'Data - Taxa'!BO3:BO169,"",'Data - Taxa'!$AT$3:$AT$169, "Y",'Data - Taxa'!$B3:B169,"Dickinsoniomorpha")+COUNTIFS('Data - Taxa'!BP3:BP169,"",'Data - Taxa'!BO3:BO169,"Y",'Data - Taxa'!$AT$3:$AT$169, "Y",'Data - Taxa'!$B3:B169,"Dickinsoniomorpha")+COUNTIFS('Data - Taxa'!BP3:BP169,"Y",'Data - Taxa'!BO3:BO169,"Y",'Data - Taxa'!$AT$3:$AT$169, "Y",'Data - Taxa'!$B3:B169,"Dickinsoniomorpha")</f>
        <v>5</v>
      </c>
      <c r="N15">
        <f>COUNTIFS('Data - Taxa'!BP3:BP169,"Y",'Data - Taxa'!BO3:BO169,"",'Data - Taxa'!$AT$3:$AT$169, "Y",'Data - Taxa'!$B3:B169,"Kimberellamorpha")+COUNTIFS('Data - Taxa'!BP3:BP169,"",'Data - Taxa'!BO3:BO169,"Y",'Data - Taxa'!$AT$3:$AT$169, "Y",'Data - Taxa'!$B3:B169,"Kimberellamorpha")+COUNTIFS('Data - Taxa'!BP3:BP169,"Y",'Data - Taxa'!BO3:BO169,"Y",'Data - Taxa'!$AT$3:$AT$169, "Y",'Data - Taxa'!$B3:B169,"Kimberellamorpha")</f>
        <v>2</v>
      </c>
      <c r="P15" s="6"/>
      <c r="Q15" s="6"/>
      <c r="R15" s="6"/>
      <c r="S15" s="6"/>
      <c r="T15" s="6"/>
      <c r="U15" s="6"/>
      <c r="V15" s="17"/>
      <c r="W15" s="17"/>
      <c r="X15" s="6"/>
      <c r="Y15" s="6"/>
      <c r="Z15" s="6"/>
      <c r="AA15" s="6"/>
      <c r="AB15" s="6"/>
      <c r="AC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row>
    <row r="16" spans="1:138" x14ac:dyDescent="0.35">
      <c r="A16" s="1">
        <v>70</v>
      </c>
      <c r="B16" s="1">
        <f>COUNTA('Data - Localities'!T3:T33)+COUNTA('Data - Localities'!S3:S33)</f>
        <v>6</v>
      </c>
      <c r="C16" s="1">
        <f>COUNTIFS('Data - Taxa'!BN3:BN169,"Y",'Data - Taxa'!BM3:BM169,"")+COUNTIFS('Data - Taxa'!BN3:BN169,"",'Data - Taxa'!BM3:BM169,"Y")+COUNTIFS('Data - Taxa'!BN3:BN169,"Y",'Data - Taxa'!BM3:BM169,"Y")</f>
        <v>38</v>
      </c>
      <c r="D16">
        <f>COUNTIFS('Data - Taxa'!BN3:BN169,"Y",'Data - Taxa'!BM3:BM169,"",'Data - Taxa'!$AT$3:$AT$169, "Y")+COUNTIFS('Data - Taxa'!BN3:BN169,"",'Data - Taxa'!BM3:BM169,"Y",'Data - Taxa'!$AT$3:$AT$169, "Y")+COUNTIFS('Data - Taxa'!BN3:BN169,"Y",'Data - Taxa'!BM3:BM169,"Y",'Data - Taxa'!$AT$3:$AT$169, "Y")</f>
        <v>4</v>
      </c>
      <c r="E16">
        <f>COUNTIFS('Data - Taxa'!BN3:BN169,"Y",'Data - Taxa'!BM3:BM169,"", 'Data - Taxa'!$AT$3:$AT$169, "")+COUNTIFS('Data - Taxa'!BN3:BN169,"",'Data - Taxa'!BM3:BM169,"Y", 'Data - Taxa'!$AT$3:$AT$169, "")+COUNTIFS('Data - Taxa'!BN3:BN169,"Y",'Data - Taxa'!BM3:BM169,"Y", 'Data - Taxa'!$AT$3:$AT$169, "")</f>
        <v>34</v>
      </c>
      <c r="F16">
        <f>COUNTIFS('Data - Taxa'!BN3:BN169,"Y",'Data - Taxa'!BM3:BM169,"", 'Data - Taxa'!$AN$3:$AN$169, "Y")+COUNTIFS('Data - Taxa'!BN3:BN169,"",'Data - Taxa'!BM3:BM169,"Y", 'Data - Taxa'!$AN$3:$AN$169, "Y")+COUNTIFS('Data - Taxa'!BN3:BN169,"Y",'Data - Taxa'!BM3:BM169,"Y", 'Data - Taxa'!$AN$3:$AN$169, "Y")</f>
        <v>2</v>
      </c>
      <c r="G16" s="1">
        <f>COUNTIFS('Data - Taxa'!BN3:BN169,"Y",'Data - Taxa'!BM3:BM169,"", 'Data - Taxa'!$AO$3:$AO$169, "Y")+COUNTIFS('Data - Taxa'!BN3:BN169,"",'Data - Taxa'!BM3:BM169,"Y", 'Data - Taxa'!$AO$3:$AO$169, "Y")+COUNTIFS('Data - Taxa'!BN3:BN169,"Y",'Data - Taxa'!BM3:BM169,"Y", 'Data - Taxa'!$AO$3:$AO$169, "Y")</f>
        <v>3</v>
      </c>
      <c r="H16" s="1">
        <f>COUNTIFS('Data - Taxa'!BN3:BN169,"Y",'Data - Taxa'!BM3:BM169,"", 'Data - Taxa'!$AQ$3:$AQ$169, "Y")+COUNTIFS('Data - Taxa'!BN3:BN169,"",'Data - Taxa'!BM3:BM169,"Y", 'Data - Taxa'!$AQ$3:$AQ$169, "Y")+COUNTIFS('Data - Taxa'!BN3:BN169,"Y",'Data - Taxa'!BM3:BM169,"Y", 'Data - Taxa'!$AQ$3:$AQ$169, "Y")</f>
        <v>26</v>
      </c>
      <c r="I16">
        <f>COUNTIFS('Data - Taxa'!BN3:BN169,"Y",'Data - Taxa'!BM3:BM169,"", 'Data - Taxa'!$AN$3:$AN$169, "Y", 'Data - Taxa'!$AY$3:$AY$169, "Y")+COUNTIFS('Data - Taxa'!BN3:BN169,"",'Data - Taxa'!BM3:BM169,"Y", 'Data - Taxa'!$AN$3:$AN$169, "Y", 'Data - Taxa'!$AY$3:$AY$169, "Y")+COUNTIFS('Data - Taxa'!BN3:BN169,"Y",'Data - Taxa'!BM3:BM169,"Y", 'Data - Taxa'!$AN$3:$AN$169, "Y", 'Data - Taxa'!$AY$3:$AY$169, "Y")</f>
        <v>1</v>
      </c>
      <c r="J16">
        <f>COUNTIFS('Data - Taxa'!BN3:BN169,"Y",'Data - Taxa'!BM3:BM169,"", 'Data - Taxa'!$AO$3:$AO$169, "Y", 'Data - Taxa'!$AY$3:$AY$169, "Y")+COUNTIFS('Data - Taxa'!BN3:BN169,"",'Data - Taxa'!BM3:BM169,"Y", 'Data - Taxa'!$AO$3:$AO$169, "Y", 'Data - Taxa'!$AY$3:$AY$169, "Y")+COUNTIFS('Data - Taxa'!BN3:BN169,"Y",'Data - Taxa'!BM3:BM169,"Y", 'Data - Taxa'!$AO$3:$AO$169, "Y", 'Data - Taxa'!$AY$3:$AY$169, "Y")</f>
        <v>2</v>
      </c>
      <c r="K16">
        <f>COUNTIFS('Data - Taxa'!BN3:BN169,"Y",'Data - Taxa'!BM3:BM169,"", 'Data - Taxa'!$AQ$3:$AQ$169, "Y", 'Data - Taxa'!$AY$3:$AY$169, "Y")+COUNTIFS('Data - Taxa'!BN3:BN169,"",'Data - Taxa'!BM3:BM169,"Y", 'Data - Taxa'!$AQ$3:$AQ$169, "Y", 'Data - Taxa'!$AY$3:$AY$169, "Y")+COUNTIFS('Data - Taxa'!BN3:BN169,"Y",'Data - Taxa'!BM3:BM169,"Y", 'Data - Taxa'!$AQ$3:$AQ$169, "Y", 'Data - Taxa'!$AY$3:$AY$169, "Y")</f>
        <v>1</v>
      </c>
      <c r="L16">
        <f>COUNTIFS('Data - Taxa'!BN3:BN169,"Y",'Data - Taxa'!BM3:BM169,"",'Data - Taxa'!$AT$3:$AT$169, "Y",'Data - Taxa'!$B3:B169,"Bilateralomorpha")+COUNTIFS('Data - Taxa'!BN3:BN169,"",'Data - Taxa'!BM3:BM169,"Y",'Data - Taxa'!$AT$3:$AT$169, "Y",'Data - Taxa'!$B3:B169,"Bilateralomorpha")+COUNTIFS('Data - Taxa'!BN3:BN169,"Y",'Data - Taxa'!BM3:BM169,"Y",'Data - Taxa'!$AT$3:$AT$169, "Y",'Data - Taxa'!$B3:B169,"Bilateralomorpha")</f>
        <v>1</v>
      </c>
      <c r="M16">
        <f>COUNTIFS('Data - Taxa'!BN3:BN169,"Y",'Data - Taxa'!BM3:BM169,"",'Data - Taxa'!$AT$3:$AT$169, "Y",'Data - Taxa'!$B3:B169,"Dickinsoniomorpha")+COUNTIFS('Data - Taxa'!BN3:BN169,"",'Data - Taxa'!BM3:BM169,"Y",'Data - Taxa'!$AT$3:$AT$169, "Y",'Data - Taxa'!$B3:B169,"Dickinsoniomorpha")+COUNTIFS('Data - Taxa'!BN3:BN169,"Y",'Data - Taxa'!BM3:BM169,"Y",'Data - Taxa'!$AT$3:$AT$169, "Y",'Data - Taxa'!$B3:B169,"Dickinsoniomorpha")</f>
        <v>2</v>
      </c>
      <c r="N16">
        <f>COUNTIFS('Data - Taxa'!BN3:BN169,"Y",'Data - Taxa'!BM3:BM169,"",'Data - Taxa'!$AT$3:$AT$169, "Y",'Data - Taxa'!$B3:B169,"Kimberellamorpha")+COUNTIFS('Data - Taxa'!BN3:BN169,"",'Data - Taxa'!BM3:BM169,"Y",'Data - Taxa'!$AT$3:$AT$169, "Y",'Data - Taxa'!$B3:B169,"Kimberellamorpha")+COUNTIFS('Data - Taxa'!BN3:BN169,"Y",'Data - Taxa'!BM3:BM169,"Y",'Data - Taxa'!$AT$3:$AT$169, "Y",'Data - Taxa'!$B3:B169,"Kimberellamorpha")</f>
        <v>1</v>
      </c>
      <c r="P16" s="6"/>
      <c r="Q16" s="6"/>
      <c r="R16" s="6"/>
      <c r="S16" s="6"/>
      <c r="T16" s="6"/>
      <c r="U16" s="6"/>
      <c r="V16" s="17"/>
      <c r="W16" s="17"/>
      <c r="X16" s="6"/>
      <c r="Y16" s="6"/>
      <c r="Z16" s="6"/>
      <c r="AA16" s="6"/>
      <c r="AB16" s="6"/>
      <c r="AC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row>
    <row r="17" spans="1:136" x14ac:dyDescent="0.35">
      <c r="A17" s="1">
        <v>90</v>
      </c>
      <c r="B17" s="1">
        <f>COUNTA('Data - Localities'!R3:R33)</f>
        <v>1</v>
      </c>
      <c r="C17" s="1">
        <f>COUNTIF('Data - Taxa'!BL3:BL169, "Y")</f>
        <v>26</v>
      </c>
      <c r="D17">
        <f>COUNTIFS('Data - Taxa'!$BL$3:$BL$169, "Y", 'Data - Taxa'!$AT$3:$AT$169, "Y")</f>
        <v>0</v>
      </c>
      <c r="E17">
        <f>COUNTIFS('Data - Taxa'!$BL$3:$BL$169, "Y", 'Data - Taxa'!$AT$3:$AT$169, "")</f>
        <v>26</v>
      </c>
      <c r="F17">
        <f>COUNTIFS('Data - Taxa'!$BL$3:$BL$169, "Y", 'Data - Taxa'!$AN$3:$AN$169, "Y")</f>
        <v>0</v>
      </c>
      <c r="G17" s="1">
        <f>COUNTIFS('Data - Taxa'!$BL$3:$BL$169, "Y", 'Data - Taxa'!$AO$3:$AO$169, "Y")</f>
        <v>0</v>
      </c>
      <c r="H17" s="1">
        <f>COUNTIFS('Data - Taxa'!$BL$3:$BL$169, "Y", 'Data - Taxa'!$AQ$3:$AQ$169, "Y")</f>
        <v>23</v>
      </c>
      <c r="I17">
        <f>COUNTIFS('Data - Taxa'!$BL$3:$BL$169, "Y", 'Data - Taxa'!$AN$3:$AN$169, "Y", 'Data - Taxa'!$AY$3:$AY$169, "Y")</f>
        <v>0</v>
      </c>
      <c r="J17">
        <f>COUNTIFS('Data - Taxa'!$BL$3:$BL$169, "Y", 'Data - Taxa'!$AO$3:$AO$169, "Y", 'Data - Taxa'!$AY$3:$AY$169, "Y")</f>
        <v>0</v>
      </c>
      <c r="K17">
        <f>COUNTIFS('Data - Taxa'!$BL$3:$BL$169, "Y", 'Data - Taxa'!$AQ$3:$AQ$169, "Y", 'Data - Taxa'!$AY$3:$AY$169, "Y")</f>
        <v>0</v>
      </c>
      <c r="L17">
        <f>COUNTIFS('Data - Taxa'!$BL$3:$BL$169, "Y", 'Data - Taxa'!$AT$3:$AT$169, "Y",'Data - Taxa'!$B3:B169,"Bilateralomorpha")</f>
        <v>0</v>
      </c>
      <c r="M17">
        <f>COUNTIFS('Data - Taxa'!$BL$3:$BL$169, "Y", 'Data - Taxa'!$AT$3:$AT$169, "Y",'Data - Taxa'!$B3:B169,"Dickinsoniomorpha")</f>
        <v>0</v>
      </c>
      <c r="N17">
        <f>COUNTIFS('Data - Taxa'!$BL$3:$BL$169, "Y", 'Data - Taxa'!$AT$3:$AT$169, "Y",'Data - Taxa'!$B3:B169,"Kimberellamorpha")</f>
        <v>0</v>
      </c>
      <c r="P17" s="6"/>
      <c r="Q17" s="6"/>
      <c r="R17" s="6"/>
      <c r="S17" s="6"/>
      <c r="T17" s="6"/>
      <c r="U17" s="6"/>
      <c r="V17" s="17"/>
      <c r="W17" s="17"/>
      <c r="X17" s="6"/>
      <c r="Y17" s="6"/>
      <c r="Z17" s="6"/>
      <c r="AA17" s="6"/>
      <c r="AB17" s="6"/>
      <c r="AC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row>
    <row r="18" spans="1:136" x14ac:dyDescent="0.35">
      <c r="A18" s="38" t="s">
        <v>302</v>
      </c>
      <c r="B18" s="38">
        <f>SUM(B13:B17)</f>
        <v>31</v>
      </c>
      <c r="C18" s="38">
        <f>SUM(C13:C17)</f>
        <v>268</v>
      </c>
      <c r="D18" s="38">
        <f>SUM(D13:D17)</f>
        <v>38</v>
      </c>
      <c r="E18" s="38">
        <f t="shared" ref="E18:K18" si="2">SUM(E13:E17)</f>
        <v>230</v>
      </c>
      <c r="F18" s="38">
        <f t="shared" si="2"/>
        <v>14</v>
      </c>
      <c r="G18" s="122">
        <f t="shared" si="2"/>
        <v>15</v>
      </c>
      <c r="H18" s="122">
        <f t="shared" si="2"/>
        <v>190</v>
      </c>
      <c r="I18" s="38">
        <f t="shared" si="2"/>
        <v>8</v>
      </c>
      <c r="J18" s="38">
        <f t="shared" si="2"/>
        <v>13</v>
      </c>
      <c r="K18" s="38">
        <f t="shared" si="2"/>
        <v>16</v>
      </c>
      <c r="L18" s="38">
        <f>SUM(L13:L17)</f>
        <v>22</v>
      </c>
      <c r="M18" s="38">
        <f>SUM(M13:M17)</f>
        <v>12</v>
      </c>
      <c r="N18" s="38">
        <f>SUM(N13:N17)</f>
        <v>4</v>
      </c>
      <c r="P18" s="6"/>
      <c r="Q18" s="6"/>
      <c r="R18" s="6"/>
      <c r="S18" s="6"/>
      <c r="T18" s="6"/>
      <c r="U18" s="6"/>
      <c r="V18" s="17"/>
      <c r="W18" s="17"/>
      <c r="X18" s="6"/>
      <c r="Y18" s="6"/>
      <c r="Z18" s="6"/>
      <c r="AA18" s="6"/>
      <c r="AB18" s="6"/>
      <c r="AC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row>
    <row r="19" spans="1:136" x14ac:dyDescent="0.35">
      <c r="G19" s="1"/>
      <c r="H19" s="1"/>
      <c r="L19" s="6"/>
      <c r="M19" s="6"/>
      <c r="N19" s="6"/>
      <c r="P19" s="6"/>
      <c r="Q19" s="6"/>
      <c r="R19" s="6"/>
      <c r="S19" s="6"/>
      <c r="T19" s="6"/>
      <c r="U19" s="6"/>
      <c r="V19" s="17"/>
      <c r="W19" s="17"/>
      <c r="X19" s="6"/>
      <c r="Y19" s="6"/>
      <c r="Z19" s="6"/>
      <c r="AA19" s="6"/>
      <c r="AB19" s="6"/>
      <c r="AC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row>
    <row r="20" spans="1:136" x14ac:dyDescent="0.35">
      <c r="A20" s="18" t="s">
        <v>415</v>
      </c>
      <c r="G20" s="1"/>
      <c r="H20" s="1"/>
      <c r="P20" s="18"/>
      <c r="V20" s="1"/>
      <c r="W20" s="1"/>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row>
    <row r="21" spans="1:136" x14ac:dyDescent="0.35">
      <c r="A21" s="53" t="s">
        <v>494</v>
      </c>
      <c r="G21" s="1"/>
      <c r="H21" s="1"/>
      <c r="CU21" s="6"/>
      <c r="CV21" s="6"/>
      <c r="CW21" s="6"/>
      <c r="CX21" s="6"/>
      <c r="CY21" s="6"/>
      <c r="CZ21" s="6"/>
      <c r="DA21" s="6"/>
      <c r="DB21" s="6"/>
      <c r="DC21" s="6"/>
      <c r="DD21" s="6"/>
      <c r="DE21" s="6"/>
      <c r="DF21" s="6"/>
      <c r="DG21" s="6"/>
      <c r="DH21" s="6"/>
      <c r="DI21" s="6"/>
      <c r="DJ21" s="6"/>
      <c r="DK21" s="6"/>
      <c r="DL21" s="6"/>
      <c r="DM21" s="6"/>
      <c r="DN21" s="6"/>
      <c r="DO21" s="6"/>
      <c r="DP21" s="6"/>
      <c r="DQ21" s="6"/>
    </row>
    <row r="22" spans="1:136" ht="150.75" customHeight="1" x14ac:dyDescent="0.35">
      <c r="A22" s="120" t="s">
        <v>303</v>
      </c>
      <c r="B22" s="18"/>
      <c r="C22" s="120" t="s">
        <v>304</v>
      </c>
      <c r="D22" s="120" t="s">
        <v>173</v>
      </c>
      <c r="E22" s="120" t="s">
        <v>387</v>
      </c>
      <c r="F22" s="120" t="s">
        <v>305</v>
      </c>
      <c r="G22" s="121" t="s">
        <v>327</v>
      </c>
      <c r="H22" s="121" t="s">
        <v>328</v>
      </c>
      <c r="I22" s="120" t="s">
        <v>307</v>
      </c>
      <c r="J22" s="120" t="s">
        <v>306</v>
      </c>
      <c r="K22" s="120" t="s">
        <v>308</v>
      </c>
      <c r="L22" s="120" t="s">
        <v>18</v>
      </c>
      <c r="M22" s="120" t="s">
        <v>9</v>
      </c>
      <c r="N22" s="120" t="s">
        <v>83</v>
      </c>
      <c r="O22" s="120" t="s">
        <v>495</v>
      </c>
      <c r="P22" s="120" t="s">
        <v>496</v>
      </c>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row>
    <row r="23" spans="1:136" x14ac:dyDescent="0.35">
      <c r="A23">
        <v>10</v>
      </c>
      <c r="C23" s="53">
        <f t="shared" ref="C23:N23" si="3">C4-(C$9/$B$9)*$B4</f>
        <v>-29.612903225806463</v>
      </c>
      <c r="D23" s="53">
        <f t="shared" si="3"/>
        <v>-6.1935483870967758</v>
      </c>
      <c r="E23" s="53">
        <f t="shared" si="3"/>
        <v>-23.41935483870968</v>
      </c>
      <c r="F23" s="53">
        <f t="shared" si="3"/>
        <v>-1.6774193548387091</v>
      </c>
      <c r="G23" s="54">
        <f t="shared" si="3"/>
        <v>-0.77419354838709609</v>
      </c>
      <c r="H23" s="54">
        <f t="shared" si="3"/>
        <v>-26.677419354838705</v>
      </c>
      <c r="I23" s="53">
        <f t="shared" si="3"/>
        <v>-0.38709677419354804</v>
      </c>
      <c r="J23" s="53">
        <f t="shared" si="3"/>
        <v>-0.67741935483870908</v>
      </c>
      <c r="K23" s="53">
        <f t="shared" si="3"/>
        <v>2.7741935483870961</v>
      </c>
      <c r="L23" s="53">
        <f t="shared" si="3"/>
        <v>-4.064516129032258</v>
      </c>
      <c r="M23" s="53">
        <f t="shared" si="3"/>
        <v>-1.4838709677419351</v>
      </c>
      <c r="N23" s="53">
        <f t="shared" si="3"/>
        <v>-0.64516129032258052</v>
      </c>
      <c r="O23" s="53">
        <f>Q4-(Q$9/$O$9)*$O4</f>
        <v>-5.1538461538461533</v>
      </c>
      <c r="P23" s="53">
        <f>R4-(R$9/$P$9)*$P4</f>
        <v>-0.23529411764705888</v>
      </c>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row>
    <row r="24" spans="1:136" x14ac:dyDescent="0.35">
      <c r="A24">
        <v>30</v>
      </c>
      <c r="C24" s="53">
        <f t="shared" ref="C24:N24" si="4">C5-(C$9/$B$9)*$B5</f>
        <v>23.806451612903224</v>
      </c>
      <c r="D24" s="53">
        <f t="shared" si="4"/>
        <v>12.096774193548386</v>
      </c>
      <c r="E24" s="53">
        <f t="shared" si="4"/>
        <v>11.709677419354833</v>
      </c>
      <c r="F24" s="53">
        <f t="shared" si="4"/>
        <v>-1.161290322580645</v>
      </c>
      <c r="G24" s="54">
        <f t="shared" si="4"/>
        <v>-1.6129032258064515</v>
      </c>
      <c r="H24" s="54">
        <f t="shared" si="4"/>
        <v>24.838709677419359</v>
      </c>
      <c r="I24" s="53">
        <f t="shared" si="4"/>
        <v>-0.80645161290322576</v>
      </c>
      <c r="J24" s="53">
        <f t="shared" si="4"/>
        <v>-1.161290322580645</v>
      </c>
      <c r="K24" s="53">
        <f t="shared" si="4"/>
        <v>-0.38709677419354849</v>
      </c>
      <c r="L24" s="53">
        <f t="shared" si="4"/>
        <v>7.032258064516129</v>
      </c>
      <c r="M24" s="53">
        <f t="shared" si="4"/>
        <v>3.741935483870968</v>
      </c>
      <c r="N24" s="53">
        <f t="shared" si="4"/>
        <v>1.3225806451612905</v>
      </c>
      <c r="O24" s="53">
        <f>Q5-(Q$9/$O$9)*$O5</f>
        <v>9.7692307692307701</v>
      </c>
      <c r="P24" s="53">
        <f>R5-(R$9/$P$9)*$P5</f>
        <v>0.88235294117647056</v>
      </c>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row>
    <row r="25" spans="1:136" x14ac:dyDescent="0.35">
      <c r="A25">
        <v>50</v>
      </c>
      <c r="C25" s="53">
        <f t="shared" ref="C25:N25" si="5">C6-(C$9/$B$9)*$B6</f>
        <v>2.5161290322580641</v>
      </c>
      <c r="D25" s="53">
        <f t="shared" si="5"/>
        <v>-1.2580645161290325</v>
      </c>
      <c r="E25" s="53">
        <f t="shared" si="5"/>
        <v>3.7741935483870961</v>
      </c>
      <c r="F25" s="53">
        <f t="shared" si="5"/>
        <v>2.096774193548387</v>
      </c>
      <c r="G25" s="54">
        <f t="shared" si="5"/>
        <v>-3.2258064516129004E-2</v>
      </c>
      <c r="H25" s="54">
        <f t="shared" si="5"/>
        <v>9.6774193548387899E-2</v>
      </c>
      <c r="I25" s="53">
        <f t="shared" si="5"/>
        <v>0.4838709677419355</v>
      </c>
      <c r="J25" s="53">
        <f t="shared" si="5"/>
        <v>9.6774193548387122E-2</v>
      </c>
      <c r="K25" s="53">
        <f t="shared" si="5"/>
        <v>-0.967741935483871</v>
      </c>
      <c r="L25" s="53">
        <f t="shared" si="5"/>
        <v>-0.41935483870967749</v>
      </c>
      <c r="M25" s="53">
        <f t="shared" si="5"/>
        <v>-0.64516129032258063</v>
      </c>
      <c r="N25" s="53">
        <f t="shared" si="5"/>
        <v>-0.19354838709677419</v>
      </c>
      <c r="O25" s="53">
        <f>Q6-(Q$9/$O$9)*$O6</f>
        <v>0</v>
      </c>
      <c r="P25" s="53">
        <f>R6-(R$9/$P$9)*$P6</f>
        <v>0.47058823529411764</v>
      </c>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row>
    <row r="26" spans="1:136" x14ac:dyDescent="0.35">
      <c r="A26">
        <v>70</v>
      </c>
      <c r="C26" s="53">
        <f t="shared" ref="C26:N26" si="6">C7-(C$9/$B$9)*$B7</f>
        <v>3.2903225806451601</v>
      </c>
      <c r="D26" s="53">
        <f t="shared" si="6"/>
        <v>-4.645161290322581</v>
      </c>
      <c r="E26" s="53">
        <f t="shared" si="6"/>
        <v>7.9354838709677438</v>
      </c>
      <c r="F26" s="53">
        <f t="shared" si="6"/>
        <v>0.74193548387096797</v>
      </c>
      <c r="G26" s="54">
        <f t="shared" si="6"/>
        <v>2.4193548387096775</v>
      </c>
      <c r="H26" s="54">
        <f t="shared" si="6"/>
        <v>1.741935483870968</v>
      </c>
      <c r="I26" s="53">
        <f t="shared" si="6"/>
        <v>0.70967741935483875</v>
      </c>
      <c r="J26" s="53">
        <f t="shared" si="6"/>
        <v>1.741935483870968</v>
      </c>
      <c r="K26" s="53">
        <f t="shared" si="6"/>
        <v>-1.4193548387096775</v>
      </c>
      <c r="L26" s="53">
        <f t="shared" si="6"/>
        <v>-2.5483870967741939</v>
      </c>
      <c r="M26" s="53">
        <f t="shared" si="6"/>
        <v>-1.6129032258064515</v>
      </c>
      <c r="N26" s="53">
        <f t="shared" si="6"/>
        <v>-0.4838709677419355</v>
      </c>
      <c r="O26" s="53">
        <f>Q7-(Q$9/$O$9)*$O7</f>
        <v>-4.615384615384615</v>
      </c>
      <c r="P26" s="53">
        <f>R7-(R$9/$P$9)*$P7</f>
        <v>-1.1176470588235294</v>
      </c>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row>
    <row r="27" spans="1:136" x14ac:dyDescent="0.35">
      <c r="A27">
        <v>90</v>
      </c>
      <c r="C27" s="53">
        <f t="shared" ref="C27:N27" si="7">C8-(C$9/$B$9)*$B8</f>
        <v>0</v>
      </c>
      <c r="D27" s="53">
        <f t="shared" si="7"/>
        <v>0</v>
      </c>
      <c r="E27" s="53">
        <f t="shared" si="7"/>
        <v>0</v>
      </c>
      <c r="F27" s="53">
        <f t="shared" si="7"/>
        <v>0</v>
      </c>
      <c r="G27" s="53">
        <f t="shared" si="7"/>
        <v>0</v>
      </c>
      <c r="H27" s="53">
        <f t="shared" si="7"/>
        <v>0</v>
      </c>
      <c r="I27" s="53">
        <f t="shared" si="7"/>
        <v>0</v>
      </c>
      <c r="J27" s="53">
        <f t="shared" si="7"/>
        <v>0</v>
      </c>
      <c r="K27" s="53">
        <f t="shared" si="7"/>
        <v>0</v>
      </c>
      <c r="L27" s="53">
        <f t="shared" si="7"/>
        <v>0</v>
      </c>
      <c r="M27" s="53">
        <f t="shared" si="7"/>
        <v>0</v>
      </c>
      <c r="N27" s="53">
        <f t="shared" si="7"/>
        <v>0</v>
      </c>
      <c r="O27" s="53">
        <f>Q8-(Q$9/$O$9)*$O8</f>
        <v>0</v>
      </c>
      <c r="P27" s="53">
        <f>R8-(R$9/$P$9)*$P8</f>
        <v>0</v>
      </c>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row>
    <row r="28" spans="1:136" x14ac:dyDescent="0.35">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row>
    <row r="29" spans="1:136" x14ac:dyDescent="0.35">
      <c r="A29" s="53" t="s">
        <v>540</v>
      </c>
      <c r="G29" s="1"/>
      <c r="H29" s="1"/>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row>
    <row r="30" spans="1:136" ht="187.5" customHeight="1" x14ac:dyDescent="0.35">
      <c r="A30" s="120" t="s">
        <v>303</v>
      </c>
      <c r="B30" s="18"/>
      <c r="C30" s="120" t="s">
        <v>304</v>
      </c>
      <c r="D30" s="120" t="s">
        <v>173</v>
      </c>
      <c r="E30" s="120" t="s">
        <v>387</v>
      </c>
      <c r="F30" s="120" t="s">
        <v>305</v>
      </c>
      <c r="G30" s="121" t="s">
        <v>327</v>
      </c>
      <c r="H30" s="121" t="s">
        <v>328</v>
      </c>
      <c r="I30" s="120" t="s">
        <v>307</v>
      </c>
      <c r="J30" s="120" t="s">
        <v>306</v>
      </c>
      <c r="K30" s="120" t="s">
        <v>308</v>
      </c>
      <c r="L30" s="120" t="s">
        <v>18</v>
      </c>
      <c r="M30" s="120" t="s">
        <v>9</v>
      </c>
      <c r="N30" s="120" t="s">
        <v>83</v>
      </c>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row>
    <row r="31" spans="1:136" x14ac:dyDescent="0.35">
      <c r="A31">
        <v>10</v>
      </c>
      <c r="C31">
        <f t="shared" ref="C31:N31" si="8">C13-(C$18/$B$18)*$B13</f>
        <v>-5.1612903225806406</v>
      </c>
      <c r="D31">
        <f t="shared" si="8"/>
        <v>1.193548387096774</v>
      </c>
      <c r="E31">
        <f t="shared" si="8"/>
        <v>-6.3548387096774164</v>
      </c>
      <c r="F31">
        <f t="shared" si="8"/>
        <v>-1.6129032258064515</v>
      </c>
      <c r="G31" s="1">
        <f t="shared" si="8"/>
        <v>3.129032258064516</v>
      </c>
      <c r="H31" s="1">
        <f t="shared" si="8"/>
        <v>-3.0322580645161281</v>
      </c>
      <c r="I31">
        <f t="shared" si="8"/>
        <v>-1.064516129032258</v>
      </c>
      <c r="J31">
        <f t="shared" si="8"/>
        <v>2.6451612903225805</v>
      </c>
      <c r="K31">
        <f t="shared" si="8"/>
        <v>1.870967741935484</v>
      </c>
      <c r="L31">
        <f t="shared" si="8"/>
        <v>1.32258064516129</v>
      </c>
      <c r="M31">
        <f t="shared" si="8"/>
        <v>-9.6774193548387011E-2</v>
      </c>
      <c r="N31">
        <f t="shared" si="8"/>
        <v>-3.2258064516129004E-2</v>
      </c>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row>
    <row r="32" spans="1:136" x14ac:dyDescent="0.35">
      <c r="A32">
        <v>30</v>
      </c>
      <c r="C32">
        <f t="shared" ref="C32:N32" si="9">C14-(C$18/$B$18)*$B14</f>
        <v>-32.096774193548384</v>
      </c>
      <c r="D32">
        <f t="shared" si="9"/>
        <v>-9.4838709677419359</v>
      </c>
      <c r="E32">
        <f t="shared" si="9"/>
        <v>-22.612903225806448</v>
      </c>
      <c r="F32">
        <f t="shared" si="9"/>
        <v>1.032258064516129</v>
      </c>
      <c r="G32" s="1">
        <f t="shared" si="9"/>
        <v>-2.32258064516129</v>
      </c>
      <c r="H32" s="1">
        <f t="shared" si="9"/>
        <v>-33.41935483870968</v>
      </c>
      <c r="I32">
        <f t="shared" si="9"/>
        <v>1.161290322580645</v>
      </c>
      <c r="J32">
        <f t="shared" si="9"/>
        <v>-1.612903225806452</v>
      </c>
      <c r="K32">
        <f t="shared" si="9"/>
        <v>1.32258064516129</v>
      </c>
      <c r="L32">
        <f t="shared" si="9"/>
        <v>-5.806451612903226</v>
      </c>
      <c r="M32">
        <f t="shared" si="9"/>
        <v>-2.258064516129032</v>
      </c>
      <c r="N32">
        <f t="shared" si="9"/>
        <v>-1.4193548387096775</v>
      </c>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row>
    <row r="33" spans="1:136" x14ac:dyDescent="0.35">
      <c r="A33">
        <v>50</v>
      </c>
      <c r="C33">
        <f t="shared" ref="C33:N33" si="10">C15-(C$18/$B$18)*$B15</f>
        <v>33.774193548387103</v>
      </c>
      <c r="D33">
        <f t="shared" si="10"/>
        <v>12.870967741935484</v>
      </c>
      <c r="E33">
        <f t="shared" si="10"/>
        <v>20.903225806451616</v>
      </c>
      <c r="F33">
        <f t="shared" si="10"/>
        <v>1.741935483870968</v>
      </c>
      <c r="G33" s="1">
        <f t="shared" si="10"/>
        <v>-0.41935483870967749</v>
      </c>
      <c r="H33" s="1">
        <f t="shared" si="10"/>
        <v>30.35483870967742</v>
      </c>
      <c r="I33">
        <f t="shared" si="10"/>
        <v>0.70967741935483875</v>
      </c>
      <c r="J33">
        <f t="shared" si="10"/>
        <v>-9.6774193548387011E-2</v>
      </c>
      <c r="K33">
        <f t="shared" si="10"/>
        <v>-0.58064516129032251</v>
      </c>
      <c r="L33">
        <f t="shared" si="10"/>
        <v>8.4516129032258061</v>
      </c>
      <c r="M33">
        <f t="shared" si="10"/>
        <v>3.064516129032258</v>
      </c>
      <c r="N33">
        <f t="shared" si="10"/>
        <v>1.3548387096774195</v>
      </c>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row>
    <row r="34" spans="1:136" x14ac:dyDescent="0.35">
      <c r="A34">
        <v>70</v>
      </c>
      <c r="C34">
        <f t="shared" ref="C34:N34" si="11">C16-(C$18/$B$18)*$B16</f>
        <v>-13.87096774193548</v>
      </c>
      <c r="D34">
        <f t="shared" si="11"/>
        <v>-3.3548387096774199</v>
      </c>
      <c r="E34">
        <f t="shared" si="11"/>
        <v>-10.516129032258064</v>
      </c>
      <c r="F34">
        <f t="shared" si="11"/>
        <v>-0.70967741935483852</v>
      </c>
      <c r="G34" s="1">
        <f t="shared" si="11"/>
        <v>9.6774193548387011E-2</v>
      </c>
      <c r="H34" s="1">
        <f t="shared" si="11"/>
        <v>-10.774193548387096</v>
      </c>
      <c r="I34">
        <f t="shared" si="11"/>
        <v>-0.54838709677419351</v>
      </c>
      <c r="J34">
        <f t="shared" si="11"/>
        <v>-0.5161290322580645</v>
      </c>
      <c r="K34">
        <f t="shared" si="11"/>
        <v>-2.096774193548387</v>
      </c>
      <c r="L34">
        <f t="shared" si="11"/>
        <v>-3.258064516129032</v>
      </c>
      <c r="M34">
        <f t="shared" si="11"/>
        <v>-0.32258064516129004</v>
      </c>
      <c r="N34">
        <f t="shared" si="11"/>
        <v>0.22580645161290325</v>
      </c>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row>
    <row r="35" spans="1:136" x14ac:dyDescent="0.35">
      <c r="A35">
        <v>90</v>
      </c>
      <c r="C35">
        <f t="shared" ref="C35:N35" si="12">C17-(C$18/$B$18)*$B17</f>
        <v>17.35483870967742</v>
      </c>
      <c r="D35">
        <f t="shared" si="12"/>
        <v>-1.2258064516129032</v>
      </c>
      <c r="E35">
        <f t="shared" si="12"/>
        <v>18.580645161290324</v>
      </c>
      <c r="F35">
        <f t="shared" si="12"/>
        <v>-0.45161290322580644</v>
      </c>
      <c r="G35" s="1">
        <f t="shared" si="12"/>
        <v>-0.4838709677419355</v>
      </c>
      <c r="H35" s="1">
        <f t="shared" si="12"/>
        <v>16.870967741935484</v>
      </c>
      <c r="I35">
        <f t="shared" si="12"/>
        <v>-0.25806451612903225</v>
      </c>
      <c r="J35">
        <f t="shared" si="12"/>
        <v>-0.41935483870967744</v>
      </c>
      <c r="K35">
        <f t="shared" si="12"/>
        <v>-0.5161290322580645</v>
      </c>
      <c r="L35">
        <f t="shared" si="12"/>
        <v>-0.70967741935483875</v>
      </c>
      <c r="M35">
        <f t="shared" si="12"/>
        <v>-0.38709677419354838</v>
      </c>
      <c r="N35">
        <f t="shared" si="12"/>
        <v>-0.12903225806451613</v>
      </c>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row>
    <row r="36" spans="1:136" x14ac:dyDescent="0.35">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row>
    <row r="37" spans="1:136" x14ac:dyDescent="0.35">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row>
    <row r="38" spans="1:136" x14ac:dyDescent="0.35">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row>
    <row r="39" spans="1:136" x14ac:dyDescent="0.35">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row>
    <row r="40" spans="1:136" x14ac:dyDescent="0.35">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row>
    <row r="41" spans="1:136" x14ac:dyDescent="0.35">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row>
    <row r="42" spans="1:136" x14ac:dyDescent="0.35">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row>
    <row r="43" spans="1:136" x14ac:dyDescent="0.35">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row>
    <row r="44" spans="1:136" x14ac:dyDescent="0.35">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6"/>
  <sheetViews>
    <sheetView zoomScale="70" zoomScaleNormal="70" workbookViewId="0"/>
  </sheetViews>
  <sheetFormatPr defaultColWidth="8.81640625" defaultRowHeight="14.5" x14ac:dyDescent="0.35"/>
  <cols>
    <col min="1" max="18" width="11.453125" style="58" customWidth="1"/>
    <col min="19" max="16384" width="8.81640625" style="58"/>
  </cols>
  <sheetData>
    <row r="1" spans="1:31" x14ac:dyDescent="0.35">
      <c r="A1" s="141" t="s">
        <v>386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row>
    <row r="2" spans="1:31" x14ac:dyDescent="0.35">
      <c r="A2" s="139" t="s">
        <v>413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x14ac:dyDescent="0.35">
      <c r="A3" s="97" t="s">
        <v>164</v>
      </c>
      <c r="B3" s="144" t="s">
        <v>301</v>
      </c>
      <c r="C3" s="145" t="s">
        <v>300</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row>
    <row r="4" spans="1:31" x14ac:dyDescent="0.35">
      <c r="A4" s="97">
        <v>585</v>
      </c>
      <c r="B4" s="58">
        <f>COUNTA('Data - Localities'!B3:B33)</f>
        <v>2</v>
      </c>
      <c r="C4" s="58">
        <f>COUNTA('Data - Taxa'!AH3:AH169)</f>
        <v>10</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x14ac:dyDescent="0.35">
      <c r="A5" s="97">
        <v>575</v>
      </c>
      <c r="B5" s="58">
        <f>COUNTA('Data - Localities'!C3:C33)</f>
        <v>3</v>
      </c>
      <c r="C5" s="58">
        <f>COUNTA('Data - Taxa'!AI3:AI169)</f>
        <v>14</v>
      </c>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1" x14ac:dyDescent="0.35">
      <c r="A6" s="97">
        <v>565</v>
      </c>
      <c r="B6" s="58">
        <f>COUNTA('Data - Localities'!D3:D33)</f>
        <v>4</v>
      </c>
      <c r="C6" s="58">
        <f>COUNTA('Data - Taxa'!AJ3:AJ169)</f>
        <v>25</v>
      </c>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1:31" x14ac:dyDescent="0.35">
      <c r="A7" s="97">
        <v>555</v>
      </c>
      <c r="B7" s="58">
        <f>COUNTA('Data - Localities'!E3:E33)</f>
        <v>13</v>
      </c>
      <c r="C7" s="58">
        <f>COUNTA('Data - Taxa'!AK3:AK169)</f>
        <v>110</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8" spans="1:31" x14ac:dyDescent="0.35">
      <c r="A8" s="97">
        <v>545</v>
      </c>
      <c r="B8" s="58">
        <f>COUNTA('Data - Localities'!F3:F33)</f>
        <v>17</v>
      </c>
      <c r="C8" s="58">
        <f>COUNTA('Data - Taxa'!AL3:AL169)</f>
        <v>60</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row>
    <row r="9" spans="1:31" x14ac:dyDescent="0.3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row>
    <row r="10" spans="1:31" x14ac:dyDescent="0.35">
      <c r="A10" s="115" t="s">
        <v>416</v>
      </c>
      <c r="B10" s="140"/>
      <c r="C10" s="116"/>
      <c r="D10" s="140"/>
      <c r="E10" s="140"/>
      <c r="F10" s="140"/>
      <c r="G10" s="140"/>
      <c r="H10" s="140"/>
      <c r="I10" s="140"/>
      <c r="J10" s="139"/>
      <c r="K10" s="139"/>
      <c r="L10" s="139"/>
      <c r="M10" s="139"/>
      <c r="N10" s="139"/>
      <c r="O10" s="139"/>
      <c r="P10" s="139"/>
      <c r="Q10" s="139"/>
      <c r="R10" s="139"/>
      <c r="S10" s="139"/>
      <c r="T10" s="139"/>
      <c r="U10" s="139"/>
      <c r="V10" s="139"/>
      <c r="W10" s="139"/>
      <c r="X10" s="139"/>
      <c r="Y10" s="139"/>
      <c r="Z10" s="139"/>
      <c r="AA10" s="139"/>
      <c r="AB10" s="139"/>
      <c r="AC10" s="139"/>
      <c r="AD10" s="139"/>
      <c r="AE10" s="139"/>
    </row>
    <row r="11" spans="1:31" x14ac:dyDescent="0.35">
      <c r="A11" s="139" t="s">
        <v>414</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row>
    <row r="12" spans="1:31" x14ac:dyDescent="0.35">
      <c r="A12" s="147" t="s">
        <v>164</v>
      </c>
      <c r="B12" s="148" t="s">
        <v>400</v>
      </c>
      <c r="C12" s="148" t="s">
        <v>399</v>
      </c>
      <c r="D12" s="140" t="s">
        <v>398</v>
      </c>
      <c r="E12" s="140" t="s">
        <v>401</v>
      </c>
      <c r="F12" s="148" t="s">
        <v>402</v>
      </c>
      <c r="G12" s="148" t="s">
        <v>403</v>
      </c>
      <c r="H12" s="140" t="s">
        <v>404</v>
      </c>
      <c r="I12" s="140" t="s">
        <v>405</v>
      </c>
      <c r="J12" s="139"/>
      <c r="K12" s="139"/>
      <c r="L12" s="139"/>
      <c r="M12" s="139"/>
      <c r="N12" s="139"/>
      <c r="O12" s="139"/>
      <c r="P12" s="139"/>
      <c r="Q12" s="139"/>
      <c r="R12" s="139"/>
      <c r="S12" s="139"/>
      <c r="T12" s="139"/>
      <c r="U12" s="139"/>
      <c r="V12" s="139"/>
      <c r="W12" s="139"/>
      <c r="X12" s="139"/>
      <c r="Y12" s="139"/>
      <c r="Z12" s="139"/>
      <c r="AA12" s="139"/>
      <c r="AB12" s="139"/>
      <c r="AC12" s="139"/>
      <c r="AD12" s="139"/>
      <c r="AE12" s="139"/>
    </row>
    <row r="13" spans="1:31" x14ac:dyDescent="0.35">
      <c r="A13" s="97">
        <v>585</v>
      </c>
      <c r="B13" s="58">
        <f>COUNTIFS('Data - Localities'!B3:B161,"&lt;&gt;",'Data - Localities'!Q3:Q161,"&lt;&gt;")</f>
        <v>2</v>
      </c>
      <c r="C13" s="58">
        <f>COUNTIFS('Data - Localities'!B3:B161,"&lt;&gt;",'Data - Localities'!P3:P161,"&lt;&gt;")</f>
        <v>0</v>
      </c>
      <c r="D13" s="58">
        <f>COUNTIFS('Data - Taxa'!BK3:BK169, "Y",'Data - Taxa'!AH3:AH169,"Y")</f>
        <v>10</v>
      </c>
      <c r="E13" s="58">
        <f>COUNTIFS('Data - Taxa'!BJ3:BJ169, "Y",'Data - Taxa'!AH3:AH169,"Y")-2</f>
        <v>0</v>
      </c>
      <c r="F13" s="58">
        <f>COUNTIFS('Data - Localities'!B3:B161,"&lt;&gt;",'Data - Localities'!AB3:AB161,"&lt;&gt;")</f>
        <v>2</v>
      </c>
      <c r="G13" s="58">
        <f>COUNTIFS('Data - Localities'!B3:B161,"&lt;&gt;",'Data - Localities'!AA3:AA161,"&lt;&gt;")</f>
        <v>0</v>
      </c>
      <c r="H13" s="58">
        <f>COUNTIFS('Data - Taxa'!BV3:BV169, "Y",'Data - Taxa'!AH3:AH169,"Y")</f>
        <v>10</v>
      </c>
      <c r="I13" s="58">
        <f>COUNTIFS('Data - Taxa'!BU3:BU169, "Y",'Data - Taxa'!AH3:AH169,"Y") -2</f>
        <v>0</v>
      </c>
      <c r="J13" s="139"/>
      <c r="K13" s="139"/>
      <c r="L13" s="139"/>
      <c r="M13" s="139"/>
      <c r="N13" s="139"/>
      <c r="O13" s="139"/>
      <c r="P13" s="139"/>
      <c r="Q13" s="139"/>
      <c r="R13" s="139"/>
      <c r="S13" s="139"/>
      <c r="T13" s="139"/>
      <c r="U13" s="139"/>
      <c r="V13" s="139"/>
      <c r="W13" s="139"/>
      <c r="X13" s="139"/>
      <c r="Y13" s="139"/>
      <c r="Z13" s="139"/>
      <c r="AA13" s="139"/>
      <c r="AB13" s="139"/>
      <c r="AC13" s="139"/>
      <c r="AD13" s="139"/>
      <c r="AE13" s="139"/>
    </row>
    <row r="14" spans="1:31" x14ac:dyDescent="0.35">
      <c r="A14" s="97">
        <v>575</v>
      </c>
      <c r="B14" s="58">
        <f>COUNTIFS('Data - Localities'!C3:C161,"&lt;&gt;",'Data - Localities'!Q3:Q161,"&lt;&gt;")</f>
        <v>2</v>
      </c>
      <c r="C14" s="58">
        <f>COUNTIFS('Data - Localities'!C3:C161,"&lt;&gt;",'Data - Localities'!P3:P161,"&lt;&gt;")</f>
        <v>1</v>
      </c>
      <c r="D14" s="58">
        <f>COUNTIFS('Data - Taxa'!BK3:BK169, "Y",'Data - Taxa'!AI3:AI169,"Y")-3</f>
        <v>8</v>
      </c>
      <c r="E14" s="58">
        <f>COUNTIFS('Data - Taxa'!BJ3:BJ169, "Y",'Data - Taxa'!AI3:AI169,"Y")-1</f>
        <v>10</v>
      </c>
      <c r="F14" s="58">
        <f>COUNTIFS('Data - Localities'!C3:C161,"&lt;&gt;",'Data - Localities'!AB3:AB161,"&lt;&gt;")</f>
        <v>1</v>
      </c>
      <c r="G14" s="58">
        <f>COUNTIFS('Data - Localities'!C3:C161,"&lt;&gt;",'Data - Localities'!AA3:AA161,"&lt;&gt;")</f>
        <v>2</v>
      </c>
      <c r="H14" s="58">
        <f>COUNTIFS('Data - Taxa'!BV3:BV169, "Y",'Data - Taxa'!AI3:AI169,"Y")-3</f>
        <v>5</v>
      </c>
      <c r="I14" s="58">
        <f>COUNTIFS('Data - Taxa'!BU3:BU169, "Y",'Data - Taxa'!AI3:AI169,"Y")</f>
        <v>13</v>
      </c>
      <c r="J14" s="139"/>
      <c r="K14" s="139"/>
      <c r="L14" s="139"/>
      <c r="M14" s="139"/>
      <c r="N14" s="139"/>
      <c r="O14" s="139"/>
      <c r="P14" s="139"/>
      <c r="Q14" s="139"/>
      <c r="R14" s="139"/>
      <c r="S14" s="139"/>
      <c r="T14" s="139"/>
      <c r="U14" s="139"/>
      <c r="V14" s="139"/>
      <c r="W14" s="139"/>
      <c r="X14" s="139"/>
      <c r="Y14" s="139"/>
      <c r="Z14" s="139"/>
      <c r="AA14" s="139"/>
      <c r="AB14" s="139"/>
      <c r="AC14" s="139"/>
      <c r="AD14" s="139"/>
      <c r="AE14" s="139"/>
    </row>
    <row r="15" spans="1:31" x14ac:dyDescent="0.35">
      <c r="A15" s="97">
        <v>565</v>
      </c>
      <c r="B15" s="58">
        <f>COUNTIFS('Data - Localities'!D3:D161,"&lt;&gt;",'Data - Localities'!Q3:Q161,"&lt;&gt;")</f>
        <v>2</v>
      </c>
      <c r="C15" s="58">
        <f>COUNTIFS('Data - Localities'!D3:D161,"&lt;&gt;",'Data - Localities'!P3:P161,"&lt;&gt;")</f>
        <v>2</v>
      </c>
      <c r="D15" s="58">
        <f>COUNTIFS('Data - Taxa'!BK3:BK169, "Y",'Data - Taxa'!AJ3:AJ169,"Y")-6</f>
        <v>3</v>
      </c>
      <c r="E15" s="58">
        <f>COUNTIFS('Data - Taxa'!BJ3:BJ169, "Y",'Data - Taxa'!AJ3:AJ169,"Y")</f>
        <v>25</v>
      </c>
      <c r="F15" s="58">
        <f>COUNTIFS('Data - Localities'!D3:D161,"&lt;&gt;",'Data - Localities'!AB3:AB161,"&lt;&gt;")</f>
        <v>1</v>
      </c>
      <c r="G15" s="58">
        <f>COUNTIFS('Data - Localities'!D3:D161,"&lt;&gt;",'Data - Localities'!AA3:AA161,"&lt;&gt;")</f>
        <v>3</v>
      </c>
      <c r="H15" s="58">
        <f>COUNTIFS('Data - Taxa'!BV3:BV169, "Y",'Data - Taxa'!AJ3:AJ169,"Y")-6</f>
        <v>2</v>
      </c>
      <c r="I15" s="58">
        <f>COUNTIFS('Data - Taxa'!BU3:BU169, "Y",'Data - Taxa'!AJ3:AJ169,"Y")</f>
        <v>25</v>
      </c>
      <c r="J15" s="139"/>
      <c r="K15" s="139"/>
      <c r="L15" s="139"/>
      <c r="M15" s="139"/>
      <c r="N15" s="139"/>
      <c r="O15" s="139"/>
      <c r="P15" s="139"/>
      <c r="Q15" s="139"/>
      <c r="R15" s="139"/>
      <c r="S15" s="139"/>
      <c r="T15" s="139"/>
      <c r="U15" s="139"/>
      <c r="V15" s="139"/>
      <c r="W15" s="139"/>
      <c r="X15" s="139"/>
      <c r="Y15" s="139"/>
      <c r="Z15" s="139"/>
      <c r="AA15" s="139"/>
      <c r="AB15" s="139"/>
      <c r="AC15" s="139"/>
      <c r="AD15" s="139"/>
      <c r="AE15" s="139"/>
    </row>
    <row r="16" spans="1:31" x14ac:dyDescent="0.35">
      <c r="A16" s="97">
        <v>555</v>
      </c>
      <c r="B16" s="58">
        <f>COUNTIFS('Data - Localities'!E3:E161,"&lt;&gt;",'Data - Localities'!Q3:Q161,"&lt;&gt;")</f>
        <v>11</v>
      </c>
      <c r="C16" s="58">
        <f>COUNTIFS('Data - Localities'!E3:E161,"&lt;&gt;",'Data - Localities'!P3:P161,"&lt;&gt;")</f>
        <v>2</v>
      </c>
      <c r="D16" s="58">
        <f>COUNTIFS('Data - Taxa'!BK3:BK169, "Y",'Data - Taxa'!AK3:AK169,"Y")-1</f>
        <v>107</v>
      </c>
      <c r="E16" s="58">
        <f>COUNTIFS('Data - Taxa'!BJ3:BJ169, "Y",'Data - Taxa'!AK3:AK169,"Y")-12</f>
        <v>8</v>
      </c>
      <c r="F16" s="58">
        <f>COUNTIFS('Data - Localities'!E3:E161,"&lt;&gt;",'Data - Localities'!AB3:AB161,"&lt;&gt;")</f>
        <v>6</v>
      </c>
      <c r="G16" s="58">
        <f>COUNTIFS('Data - Localities'!E3:E161,"&lt;&gt;",'Data - Localities'!AA3:AA161,"&lt;&gt;")</f>
        <v>7</v>
      </c>
      <c r="H16" s="58">
        <f>COUNTIFS('Data - Taxa'!BV3:BV169, "Y",'Data - Taxa'!AK3:AK169,"Y")-10</f>
        <v>65</v>
      </c>
      <c r="I16" s="58">
        <f>COUNTIFS('Data - Taxa'!BU3:BU169, "Y",'Data - Taxa'!AK3:AK169,"Y")-1</f>
        <v>74</v>
      </c>
      <c r="J16" s="139"/>
      <c r="K16" s="139"/>
      <c r="L16" s="139"/>
      <c r="M16" s="139"/>
      <c r="N16" s="139"/>
      <c r="O16" s="139"/>
      <c r="P16" s="139"/>
      <c r="Q16" s="139"/>
      <c r="R16" s="139"/>
      <c r="S16" s="139"/>
      <c r="T16" s="139"/>
      <c r="U16" s="139"/>
      <c r="V16" s="139"/>
      <c r="W16" s="139"/>
      <c r="X16" s="139"/>
      <c r="Y16" s="139"/>
      <c r="Z16" s="139"/>
      <c r="AA16" s="139"/>
      <c r="AB16" s="139"/>
      <c r="AC16" s="139"/>
      <c r="AD16" s="139"/>
      <c r="AE16" s="139"/>
    </row>
    <row r="17" spans="1:31" x14ac:dyDescent="0.35">
      <c r="A17" s="97">
        <v>545</v>
      </c>
      <c r="B17" s="58">
        <f>COUNTIFS('Data - Localities'!F3:F161,"&lt;&gt;",'Data - Localities'!Q3:Q161,"&lt;&gt;")</f>
        <v>12</v>
      </c>
      <c r="C17" s="58">
        <f>COUNTIFS('Data - Localities'!F3:F161,"&lt;&gt;",'Data - Localities'!P3:P161,"&lt;&gt;")</f>
        <v>5</v>
      </c>
      <c r="D17" s="58">
        <f>COUNTIFS('Data - Taxa'!BK3:BK169, "Y",'Data - Taxa'!AL3:AL169,"Y")-7</f>
        <v>47</v>
      </c>
      <c r="E17" s="58">
        <f>COUNTIFS('Data - Taxa'!BJ3:BJ169, "Y",'Data - Taxa'!AL3:AL169,"Y")-3</f>
        <v>26</v>
      </c>
      <c r="F17" s="58">
        <f>COUNTIFS('Data - Localities'!F3:F161,"&lt;&gt;",'Data - Localities'!AB3:AB161,"&lt;&gt;")</f>
        <v>13</v>
      </c>
      <c r="G17" s="58">
        <f>COUNTIFS('Data - Localities'!F3:F161,"&lt;&gt;",'Data - Localities'!AA3:AA161,"&lt;&gt;")</f>
        <v>4</v>
      </c>
      <c r="H17" s="58">
        <f>COUNTIFS('Data - Taxa'!BV3:BV169, "Y",'Data - Taxa'!AL3:AL169,"Y")-1</f>
        <v>55</v>
      </c>
      <c r="I17" s="58">
        <f>COUNTIFS('Data - Taxa'!BU3:BU169, "Y",'Data - Taxa'!AL3:AL169,"Y")-18</f>
        <v>14</v>
      </c>
      <c r="J17" s="139"/>
      <c r="K17" s="139"/>
      <c r="L17" s="139"/>
      <c r="M17" s="139"/>
      <c r="N17" s="139"/>
      <c r="O17" s="139"/>
      <c r="P17" s="139"/>
      <c r="Q17" s="139"/>
      <c r="R17" s="139"/>
      <c r="S17" s="139"/>
      <c r="T17" s="139"/>
      <c r="U17" s="139"/>
      <c r="V17" s="139"/>
      <c r="W17" s="139"/>
      <c r="X17" s="139"/>
      <c r="Y17" s="139"/>
      <c r="Z17" s="139"/>
      <c r="AA17" s="139"/>
      <c r="AB17" s="139"/>
      <c r="AC17" s="139"/>
      <c r="AD17" s="139"/>
      <c r="AE17" s="139"/>
    </row>
    <row r="18" spans="1:31" x14ac:dyDescent="0.35">
      <c r="A18" s="97"/>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row>
    <row r="19" spans="1:31" x14ac:dyDescent="0.35">
      <c r="A19" s="143" t="s">
        <v>422</v>
      </c>
      <c r="B19" s="139"/>
      <c r="C19" s="139"/>
      <c r="D19" s="139"/>
      <c r="E19" s="139"/>
      <c r="F19" s="139"/>
      <c r="G19" s="139"/>
      <c r="H19" s="97"/>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row>
    <row r="20" spans="1:31" x14ac:dyDescent="0.35">
      <c r="A20" s="142" t="s">
        <v>428</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row>
    <row r="21" spans="1:31" x14ac:dyDescent="0.35">
      <c r="A21" s="146" t="s">
        <v>303</v>
      </c>
      <c r="B21" s="146" t="s">
        <v>301</v>
      </c>
      <c r="C21" s="146" t="s">
        <v>373</v>
      </c>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row>
    <row r="22" spans="1:31" x14ac:dyDescent="0.35">
      <c r="A22" s="146">
        <v>10</v>
      </c>
      <c r="B22" s="17">
        <f>COUNTA('Data - Localities'!O3:O33)+COUNTA('Data - Localities'!N3:N33)</f>
        <v>17</v>
      </c>
      <c r="C22" s="17">
        <f>COUNTIFS('Data - Taxa'!BI3:BI169,"Y",'Data - Taxa'!BH3:BH169,"")+COUNTIFS('Data - Taxa'!BI3:BI169,"",'Data - Taxa'!BH3:BH169,"Y")+COUNTIFS('Data - Taxa'!BI3:BI169,"Y",'Data - Taxa'!BH3:BH169,"Y")</f>
        <v>102</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row>
    <row r="23" spans="1:31" x14ac:dyDescent="0.35">
      <c r="A23" s="142">
        <v>30</v>
      </c>
      <c r="B23" s="17">
        <f>COUNTA('Data - Localities'!M3:M33)+COUNTA('Data - Localities'!L3:L33)</f>
        <v>7</v>
      </c>
      <c r="C23" s="17">
        <f>COUNTIFS('Data - Taxa'!BG3:BG169,"Y",'Data - Taxa'!BF3:BF169,"")+COUNTIFS('Data - Taxa'!BG3:BG169,"",'Data - Taxa'!BF3:BF169,"Y")+COUNTIFS('Data - Taxa'!BG3:BG169,"Y",'Data - Taxa'!BF3:BF169,"Y")</f>
        <v>78</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row>
    <row r="24" spans="1:31" x14ac:dyDescent="0.35">
      <c r="A24" s="142">
        <v>50</v>
      </c>
      <c r="B24" s="17">
        <f>COUNTA('Data - Localities'!K3:K33)+COUNTA('Data - Localities'!J3:J33)</f>
        <v>2</v>
      </c>
      <c r="C24" s="17">
        <f>COUNTIFS('Data - Taxa'!BE3:BE169,"Y",'Data - Taxa'!BD3:BD169,"")+COUNTIFS('Data - Taxa'!BE3:BE169,"",'Data - Taxa'!BD3:BD169,"Y")+COUNTIFS('Data - Taxa'!BE3:BE169,"Y",'Data - Taxa'!BD3:BD169,"Y")</f>
        <v>18</v>
      </c>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row>
    <row r="25" spans="1:31" x14ac:dyDescent="0.35">
      <c r="A25" s="142">
        <v>70</v>
      </c>
      <c r="B25" s="17">
        <f>COUNTA('Data - Localities'!I3:I33)+COUNTA('Data - Localities'!H3:H33)</f>
        <v>5</v>
      </c>
      <c r="C25" s="17">
        <f>COUNTIFS('Data - Taxa'!BC3:BC169,"Y",'Data - Taxa'!BB3:BB169,"")+COUNTIFS('Data - Taxa'!BC3:BC169,"",'Data - Taxa'!BB3:BB169,"Y")+COUNTIFS('Data - Taxa'!BC3:BC169,"Y",'Data - Taxa'!BB3:BB169,"Y")</f>
        <v>42</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row>
    <row r="26" spans="1:31" x14ac:dyDescent="0.35">
      <c r="A26" s="142">
        <v>90</v>
      </c>
      <c r="B26" s="17">
        <f>COUNTA('Data - Localities'!G3:G33)</f>
        <v>0</v>
      </c>
      <c r="C26" s="17">
        <f>COUNTIF('Data - Taxa'!BA3:BA169, "Y")</f>
        <v>0</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row>
    <row r="27" spans="1:31" x14ac:dyDescent="0.35">
      <c r="A27" s="146"/>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row>
    <row r="28" spans="1:31" x14ac:dyDescent="0.35">
      <c r="A28" s="139" t="s">
        <v>421</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row>
    <row r="29" spans="1:31" x14ac:dyDescent="0.35">
      <c r="A29" s="139" t="s">
        <v>303</v>
      </c>
      <c r="B29" s="139" t="s">
        <v>301</v>
      </c>
      <c r="C29" s="139" t="s">
        <v>373</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row>
    <row r="30" spans="1:31" x14ac:dyDescent="0.35">
      <c r="A30" s="139">
        <v>10</v>
      </c>
      <c r="B30" s="17">
        <f>COUNTA('Data - Localities'!Z3:Z33)+COUNTA('Data - Localities'!Y3:Y33)</f>
        <v>8</v>
      </c>
      <c r="C30" s="17">
        <f>COUNTIFS('Data - Taxa'!BT3:BT169,"Y",'Data - Taxa'!BS3:BS169,"")+COUNTIFS('Data - Taxa'!BT3:BT169,"",'Data - Taxa'!BS3:BS169,"Y")+COUNTIFS('Data - Taxa'!BT3:BT169,"Y",'Data - Taxa'!BS3:BS169,"Y")</f>
        <v>64</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row>
    <row r="31" spans="1:31" x14ac:dyDescent="0.35">
      <c r="A31" s="139">
        <v>30</v>
      </c>
      <c r="B31" s="17">
        <f>COUNTA('Data - Localities'!X3:X33)+COUNTA('Data - Localities'!W3:W33)</f>
        <v>11</v>
      </c>
      <c r="C31" s="17">
        <f>COUNTIFS('Data - Taxa'!BR3:BR169,"Y",'Data - Taxa'!BQ3:BQ169,"")+COUNTIFS('Data - Taxa'!BR3:BR169,"",'Data - Taxa'!BQ3:BQ169,"Y")+COUNTIFS('Data - Taxa'!BR3:BR169,"Y",'Data - Taxa'!BQ3:BQ169,"Y")</f>
        <v>63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row>
    <row r="32" spans="1:31" x14ac:dyDescent="0.35">
      <c r="A32" s="139">
        <v>50</v>
      </c>
      <c r="B32" s="17">
        <f>COUNTA('Data - Localities'!V3:V33)+COUNTA('Data - Localities'!U3:U33)</f>
        <v>5</v>
      </c>
      <c r="C32" s="17">
        <f>COUNTIFS('Data - Taxa'!BP3:BP169,"Y",'Data - Taxa'!BO3:BO169,"")+COUNTIFS('Data - Taxa'!BP3:BP169,"",'Data - Taxa'!BO3:BO169,"Y")+COUNTIFS('Data - Taxa'!BP3:BP169,"Y",'Data - Taxa'!BO3:BO169,"Y")</f>
        <v>77</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row>
    <row r="33" spans="1:31" x14ac:dyDescent="0.35">
      <c r="A33" s="139">
        <v>70</v>
      </c>
      <c r="B33" s="17">
        <f>COUNTA('Data - Localities'!T3:T33)+COUNTA('Data - Localities'!S3:S33)</f>
        <v>6</v>
      </c>
      <c r="C33" s="17">
        <f>COUNTIFS('Data - Taxa'!BN3:BN169,"Y",'Data - Taxa'!BM3:BM169,"")+COUNTIFS('Data - Taxa'!BN3:BN169,"",'Data - Taxa'!BM3:BM169,"Y")+COUNTIFS('Data - Taxa'!BN3:BN169,"Y",'Data - Taxa'!BM3:BM169,"Y")</f>
        <v>38</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row>
    <row r="34" spans="1:31" x14ac:dyDescent="0.35">
      <c r="A34" s="139">
        <v>90</v>
      </c>
      <c r="B34" s="17">
        <f>COUNTA('Data - Localities'!R3:R33)</f>
        <v>1</v>
      </c>
      <c r="C34" s="17">
        <f>COUNTIF('Data - Taxa'!BL3:BL169, "Y")</f>
        <v>26</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row>
    <row r="35" spans="1:31" x14ac:dyDescent="0.35">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row>
    <row r="36" spans="1:31" x14ac:dyDescent="0.35">
      <c r="A36" s="143" t="s">
        <v>420</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39"/>
      <c r="AC36" s="139"/>
    </row>
    <row r="37" spans="1:31" x14ac:dyDescent="0.35">
      <c r="A37" s="142" t="s">
        <v>427</v>
      </c>
      <c r="B37" s="139"/>
      <c r="C37" s="139"/>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39"/>
      <c r="AC37" s="139"/>
    </row>
    <row r="38" spans="1:31" x14ac:dyDescent="0.35">
      <c r="A38" s="146" t="s">
        <v>303</v>
      </c>
      <c r="B38" s="146" t="s">
        <v>301</v>
      </c>
      <c r="C38" s="146" t="s">
        <v>373</v>
      </c>
      <c r="D38" s="146" t="s">
        <v>12</v>
      </c>
      <c r="E38" s="146" t="s">
        <v>173</v>
      </c>
      <c r="F38" s="146" t="s">
        <v>217</v>
      </c>
      <c r="G38" s="146" t="s">
        <v>232</v>
      </c>
      <c r="H38" s="146" t="s">
        <v>218</v>
      </c>
      <c r="I38" s="146" t="s">
        <v>54</v>
      </c>
      <c r="J38" s="146" t="s">
        <v>14</v>
      </c>
      <c r="K38" s="146" t="s">
        <v>46</v>
      </c>
      <c r="L38" s="146" t="s">
        <v>163</v>
      </c>
      <c r="M38" s="146" t="s">
        <v>374</v>
      </c>
      <c r="N38" s="146" t="s">
        <v>330</v>
      </c>
      <c r="O38" s="146" t="s">
        <v>375</v>
      </c>
      <c r="P38" s="146" t="s">
        <v>376</v>
      </c>
      <c r="Q38" s="146" t="s">
        <v>377</v>
      </c>
      <c r="R38" s="146" t="s">
        <v>380</v>
      </c>
      <c r="S38" s="146" t="s">
        <v>372</v>
      </c>
      <c r="T38" s="146" t="s">
        <v>383</v>
      </c>
      <c r="U38" s="146" t="s">
        <v>368</v>
      </c>
      <c r="V38" s="146" t="s">
        <v>369</v>
      </c>
      <c r="W38" s="146" t="s">
        <v>370</v>
      </c>
      <c r="X38" s="146" t="s">
        <v>371</v>
      </c>
      <c r="Y38" s="146" t="s">
        <v>381</v>
      </c>
      <c r="Z38" s="146" t="s">
        <v>379</v>
      </c>
      <c r="AA38" s="146" t="s">
        <v>378</v>
      </c>
      <c r="AB38" s="139"/>
      <c r="AC38" s="139"/>
    </row>
    <row r="39" spans="1:31" x14ac:dyDescent="0.35">
      <c r="A39" s="6" t="s">
        <v>309</v>
      </c>
      <c r="B39" s="6">
        <f>COUNTA('Data - Localities'!Q3:Q33)</f>
        <v>25</v>
      </c>
      <c r="C39" s="6">
        <f>COUNTIF('Data - Taxa'!BK3:BK169, "Y")</f>
        <v>145</v>
      </c>
      <c r="D39" s="6">
        <f>COUNTIFS('Data - Taxa'!$BK$3:$BK$169, "Y", 'Data - Taxa'!AS$3:AS$169, "Y")</f>
        <v>22</v>
      </c>
      <c r="E39" s="6">
        <f>COUNTIFS('Data - Taxa'!$BK$3:$BK$169, "Y", 'Data - Taxa'!AT$3:AT$169, "Y")</f>
        <v>26</v>
      </c>
      <c r="F39" s="6">
        <f>COUNTIFS('Data - Taxa'!$BK$3:$BK$169, "Y", 'Data - Taxa'!AU$3:AU$169, "Y")</f>
        <v>13</v>
      </c>
      <c r="G39" s="6">
        <f>COUNTIFS('Data - Taxa'!$BK$3:$BK$169, "Y", 'Data - Taxa'!AV$3:AV$169, "Y")</f>
        <v>16</v>
      </c>
      <c r="H39" s="6">
        <f>COUNTIFS('Data - Taxa'!$BK$3:$BK$169, "Y", 'Data - Taxa'!AW$3:AW$169, "Y")</f>
        <v>4</v>
      </c>
      <c r="I39" s="6">
        <f>COUNTIFS('Data - Taxa'!$BK$3:$BK$169, "Y", 'Data - Taxa'!AX$3:AX$169, "Y")</f>
        <v>4</v>
      </c>
      <c r="J39" s="6">
        <f>COUNTIFS('Data - Taxa'!$BK$3:$BK$169, "Y", 'Data - Taxa'!AY$3:AY$169, "Y")</f>
        <v>28</v>
      </c>
      <c r="K39" s="6">
        <f>COUNTIFS('Data - Taxa'!$BK$3:$BK$169, "Y", 'Data - Taxa'!AZ$3:AZ$169, "Y")</f>
        <v>32</v>
      </c>
      <c r="L39" s="6">
        <f>COUNTIFS('Data - Taxa'!$BK$3:$BK$169, "Y", 'Data - Taxa'!AN$3:AN$169, "Y")</f>
        <v>6</v>
      </c>
      <c r="M39" s="6">
        <f>COUNTIFS('Data - Taxa'!$BK$3:$BK$169, "Y", 'Data - Taxa'!AO$3:AO$169, "Y")</f>
        <v>9</v>
      </c>
      <c r="N39" s="6">
        <f>COUNTIFS('Data - Taxa'!$BK$3:$BK$169, "Y", 'Data - Taxa'!AP$3:AP$169, "Y")</f>
        <v>3</v>
      </c>
      <c r="O39" s="17">
        <f>COUNTIFS('Data - Taxa'!$BK$3:$BK$169, "Y", 'Data - Taxa'!AQ$3:AQ$169, "Y")</f>
        <v>102</v>
      </c>
      <c r="P39" s="6">
        <f>COUNTIFS('Data - Taxa'!$BK$3:$BK$169, "Y", 'Data - Taxa'!AR$3:AR$169, "Y")</f>
        <v>22</v>
      </c>
      <c r="Q39" s="6">
        <f>COUNTIFS('Data - Taxa'!$BK$3:$BK$169, "Y", 'Data - Taxa'!AN$3:AN$169, "Y", 'Data - Taxa'!$AY$3:$AY$169, "Y")</f>
        <v>4</v>
      </c>
      <c r="R39" s="6">
        <f>COUNTIFS('Data - Taxa'!$BK$3:$BK$169, "Y", 'Data - Taxa'!AO$3:AO$169, "Y", 'Data - Taxa'!$AY$3:$AY$169, "Y")</f>
        <v>8</v>
      </c>
      <c r="S39" s="6">
        <f>COUNTIFS('Data - Taxa'!$BK$3:$BK$169, "Y", 'Data - Taxa'!AQ$3:AQ$169, "Y", 'Data - Taxa'!$AY$3:$AY$169, "Y")</f>
        <v>12</v>
      </c>
      <c r="T39" s="6">
        <f>L39+M39</f>
        <v>15</v>
      </c>
      <c r="U39" s="6">
        <f>C39-D39</f>
        <v>123</v>
      </c>
      <c r="V39" s="6">
        <f>C39-D39</f>
        <v>123</v>
      </c>
      <c r="W39" s="6">
        <f>C39-G39</f>
        <v>129</v>
      </c>
      <c r="X39" s="6">
        <f>C39-J39</f>
        <v>117</v>
      </c>
      <c r="Y39" s="6">
        <f>C39-K39</f>
        <v>113</v>
      </c>
      <c r="Z39" s="6">
        <f>C39-O39</f>
        <v>43</v>
      </c>
      <c r="AA39" s="6">
        <f>C39-T39</f>
        <v>130</v>
      </c>
      <c r="AB39" s="139"/>
      <c r="AC39" s="139"/>
    </row>
    <row r="40" spans="1:31" x14ac:dyDescent="0.35">
      <c r="A40" s="6" t="s">
        <v>310</v>
      </c>
      <c r="B40" s="6">
        <f>COUNTA('Data - Localities'!P3:P33)</f>
        <v>6</v>
      </c>
      <c r="C40" s="6">
        <f>COUNTIF('Data - Taxa'!BJ3:BJ169, "Y")</f>
        <v>50</v>
      </c>
      <c r="D40" s="6">
        <f>COUNTIFS('Data - Taxa'!$BJ$3:$BJ$169, "Y", 'Data - Taxa'!AS$3:AS$169, "Y")</f>
        <v>2</v>
      </c>
      <c r="E40" s="6">
        <f>COUNTIFS('Data - Taxa'!$BJ$3:$BJ$169, "Y", 'Data - Taxa'!AT$3:AT$169, "Y")</f>
        <v>1</v>
      </c>
      <c r="F40" s="6">
        <f>COUNTIFS('Data - Taxa'!$BJ$3:$BJ$169, "Y", 'Data - Taxa'!AU$3:AU$169, "Y")</f>
        <v>2</v>
      </c>
      <c r="G40" s="6">
        <f>COUNTIFS('Data - Taxa'!$BJ$3:$BJ$169, "Y", 'Data - Taxa'!AV$3:AV$169, "Y")</f>
        <v>19</v>
      </c>
      <c r="H40" s="6">
        <f>COUNTIFS('Data - Taxa'!$BJ$3:$BJ$169, "Y", 'Data - Taxa'!AW$3:AW$169, "Y")</f>
        <v>4</v>
      </c>
      <c r="I40" s="6">
        <f>COUNTIFS('Data - Taxa'!$BJ$3:$BJ$169, "Y", 'Data - Taxa'!AX$3:AX$169, "Y")</f>
        <v>3</v>
      </c>
      <c r="J40" s="6">
        <f>COUNTIFS('Data - Taxa'!$BJ$3:$BJ$169, "Y", 'Data - Taxa'!AY$3:AY$169, "Y")</f>
        <v>8</v>
      </c>
      <c r="K40" s="6">
        <f>COUNTIFS('Data - Taxa'!$BJ$3:$BJ$169, "Y", 'Data - Taxa'!AZ$3:AZ$169, "Y")</f>
        <v>11</v>
      </c>
      <c r="L40" s="6">
        <f>COUNTIFS('Data - Taxa'!$BJ$3:$BJ$169, "Y", 'Data - Taxa'!AN$3:AN$169, "Y")</f>
        <v>4</v>
      </c>
      <c r="M40" s="6">
        <f>COUNTIFS('Data - Taxa'!$BJ$3:$BJ$169, "Y", 'Data - Taxa'!AO$3:AO$169, "Y")</f>
        <v>5</v>
      </c>
      <c r="N40" s="6">
        <f>COUNTIFS('Data - Taxa'!$BJ$3:$BJ$169, "Y", 'Data - Taxa'!AP$3:AP$169, "Y")</f>
        <v>3</v>
      </c>
      <c r="O40" s="17">
        <f>COUNTIFS('Data - Taxa'!$BJ$3:$BJ$169, "Y", 'Data - Taxa'!AQ$3:AQ$169, "Y")</f>
        <v>36</v>
      </c>
      <c r="P40" s="6">
        <f>COUNTIFS('Data - Taxa'!$BJ$3:$BJ$169, "Y", 'Data - Taxa'!AR$3:AR$169, "Y")</f>
        <v>2</v>
      </c>
      <c r="Q40" s="6">
        <f>COUNTIFS('Data - Taxa'!$BJ$3:$BJ$169, "Y", 'Data - Taxa'!AN$3:AN$169, "Y", 'Data - Taxa'!$AY$3:$AY$169, "Y")</f>
        <v>2</v>
      </c>
      <c r="R40" s="6">
        <f>COUNTIFS('Data - Taxa'!$BJ$3:$BJ$169, "Y", 'Data - Taxa'!AO$3:AO$169, "Y", 'Data - Taxa'!$AY$3:$AY$169, "Y")</f>
        <v>4</v>
      </c>
      <c r="S40" s="6">
        <f>COUNTIFS('Data - Taxa'!$BJ$3:$BJ$169, "Y", 'Data - Taxa'!AQ$3:AQ$169, "Y", 'Data - Taxa'!$AY$3:$AY$169, "Y")</f>
        <v>1</v>
      </c>
      <c r="T40" s="6">
        <f>L40+M40</f>
        <v>9</v>
      </c>
      <c r="U40" s="6">
        <f>C40-D40</f>
        <v>48</v>
      </c>
      <c r="V40" s="6">
        <f>C40-D40</f>
        <v>48</v>
      </c>
      <c r="W40" s="6">
        <f>C40-G40</f>
        <v>31</v>
      </c>
      <c r="X40" s="6">
        <f>C40-J40</f>
        <v>42</v>
      </c>
      <c r="Y40" s="6">
        <f>C40-K40</f>
        <v>39</v>
      </c>
      <c r="Z40" s="6">
        <f>C40-O40</f>
        <v>14</v>
      </c>
      <c r="AA40" s="6">
        <f>C40-T40</f>
        <v>41</v>
      </c>
      <c r="AB40" s="139"/>
      <c r="AC40" s="139"/>
    </row>
    <row r="41" spans="1:31" x14ac:dyDescent="0.35">
      <c r="A41" s="143"/>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row>
    <row r="42" spans="1:31" x14ac:dyDescent="0.35">
      <c r="A42" s="139" t="s">
        <v>419</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row>
    <row r="43" spans="1:31" x14ac:dyDescent="0.35">
      <c r="A43" s="139" t="s">
        <v>303</v>
      </c>
      <c r="B43" s="139" t="s">
        <v>301</v>
      </c>
      <c r="C43" s="139" t="s">
        <v>373</v>
      </c>
      <c r="D43" s="139" t="s">
        <v>12</v>
      </c>
      <c r="E43" s="139" t="s">
        <v>173</v>
      </c>
      <c r="F43" s="139" t="s">
        <v>217</v>
      </c>
      <c r="G43" s="139" t="s">
        <v>232</v>
      </c>
      <c r="H43" s="139" t="s">
        <v>218</v>
      </c>
      <c r="I43" s="139" t="s">
        <v>54</v>
      </c>
      <c r="J43" s="139" t="s">
        <v>14</v>
      </c>
      <c r="K43" s="139" t="s">
        <v>46</v>
      </c>
      <c r="L43" s="139" t="s">
        <v>163</v>
      </c>
      <c r="M43" s="139" t="s">
        <v>374</v>
      </c>
      <c r="N43" s="139" t="s">
        <v>330</v>
      </c>
      <c r="O43" s="139" t="s">
        <v>375</v>
      </c>
      <c r="P43" s="139" t="s">
        <v>376</v>
      </c>
      <c r="Q43" s="139" t="s">
        <v>377</v>
      </c>
      <c r="R43" s="139" t="s">
        <v>380</v>
      </c>
      <c r="S43" s="139" t="s">
        <v>372</v>
      </c>
      <c r="T43" s="139" t="s">
        <v>383</v>
      </c>
      <c r="U43" s="139" t="s">
        <v>368</v>
      </c>
      <c r="V43" s="139" t="s">
        <v>369</v>
      </c>
      <c r="W43" s="139" t="s">
        <v>382</v>
      </c>
      <c r="X43" s="139" t="s">
        <v>370</v>
      </c>
      <c r="Y43" s="139" t="s">
        <v>371</v>
      </c>
      <c r="Z43" s="139" t="s">
        <v>381</v>
      </c>
      <c r="AA43" s="139" t="s">
        <v>379</v>
      </c>
      <c r="AB43" s="139" t="s">
        <v>378</v>
      </c>
    </row>
    <row r="44" spans="1:31" x14ac:dyDescent="0.35">
      <c r="A44" s="6" t="s">
        <v>309</v>
      </c>
      <c r="B44" s="6">
        <f>COUNTA('Data - Localities'!AB3:AB33)</f>
        <v>21</v>
      </c>
      <c r="C44" s="6">
        <f>COUNTIF('Data - Taxa'!BV3:BV169, "Y")</f>
        <v>114</v>
      </c>
      <c r="D44" s="6">
        <f>COUNTIFS('Data - Taxa'!$BV$3:$BV$169, "Y", 'Data - Taxa'!AS$3:AS$169, "Y")</f>
        <v>20</v>
      </c>
      <c r="E44" s="6">
        <f>COUNTIFS('Data - Taxa'!$BV$3:$BV$169, "Y", 'Data - Taxa'!AT$3:AT$169, "Y")</f>
        <v>13</v>
      </c>
      <c r="F44" s="6">
        <f>COUNTIFS('Data - Taxa'!$BV$3:$BV$169, "Y", 'Data - Taxa'!AU$3:AU$169, "Y")</f>
        <v>12</v>
      </c>
      <c r="G44" s="6">
        <f>COUNTIFS('Data - Taxa'!$BV$3:$BV$169, "Y", 'Data - Taxa'!AV$3:AV$169, "Y")</f>
        <v>14</v>
      </c>
      <c r="H44" s="6">
        <f>COUNTIFS('Data - Taxa'!$BV$3:$BV$169, "Y", 'Data - Taxa'!AW$3:AW$169, "Y")</f>
        <v>5</v>
      </c>
      <c r="I44" s="6">
        <f>COUNTIFS('Data - Taxa'!$BV$3:$BV$169, "Y", 'Data - Taxa'!AX$3:AX$169, "Y")</f>
        <v>3</v>
      </c>
      <c r="J44" s="6">
        <f>COUNTIFS('Data - Taxa'!$BV$3:$BV$169, "Y", 'Data - Taxa'!AY$3:AY$169, "Y")</f>
        <v>25</v>
      </c>
      <c r="K44" s="6">
        <f>COUNTIFS('Data - Taxa'!$BV$3:$BV$169, "Y", 'Data - Taxa'!AZ$3:AZ$169, "Y")</f>
        <v>22</v>
      </c>
      <c r="L44" s="6">
        <f>COUNTIFS('Data - Taxa'!$BV$3:$BV$169, "Y", 'Data - Taxa'!AN$3:AN$169, "Y")</f>
        <v>6</v>
      </c>
      <c r="M44" s="6">
        <f>COUNTIFS('Data - Taxa'!$BV$3:$BV$169, "Y", 'Data - Taxa'!AO$3:AO$169, "Y")</f>
        <v>9</v>
      </c>
      <c r="N44" s="6">
        <f>COUNTIFS('Data - Taxa'!$BV$3:$BV$169, "Y", 'Data - Taxa'!AP$3:AP$169, "Y")</f>
        <v>3</v>
      </c>
      <c r="O44" s="17">
        <f>COUNTIFS('Data - Taxa'!$BV$3:$BV$169, "Y", 'Data - Taxa'!AQ$3:AQ$169, "Y")</f>
        <v>76</v>
      </c>
      <c r="P44" s="6">
        <f>COUNTIFS('Data - Taxa'!$BV$3:$BV$169, "Y", 'Data - Taxa'!AR$3:AR$169, "Y")</f>
        <v>20</v>
      </c>
      <c r="Q44" s="6">
        <f>COUNTIFS('Data - Taxa'!$BV$3:$BV$169, "Y", 'Data - Taxa'!AN$3:AN$169, "Y", 'Data - Taxa'!$AY$3:$AY$169, "Y")</f>
        <v>4</v>
      </c>
      <c r="R44" s="6">
        <f>COUNTIFS('Data - Taxa'!$BV$3:$BV$169, "Y", 'Data - Taxa'!AO$3:AO$169, "Y", 'Data - Taxa'!$AY$3:$AY$169, "Y")</f>
        <v>8</v>
      </c>
      <c r="S44" s="6">
        <f>COUNTIFS('Data - Taxa'!$BV$3:$BV$169, "Y", 'Data - Taxa'!AQ$3:AQ$169, "Y", 'Data - Taxa'!$AY$3:$AY$169, "Y")</f>
        <v>12</v>
      </c>
      <c r="T44" s="6">
        <f>L44+M44</f>
        <v>15</v>
      </c>
      <c r="U44" s="6">
        <f>C44-D44</f>
        <v>94</v>
      </c>
      <c r="V44" s="6">
        <f>C44-D44</f>
        <v>94</v>
      </c>
      <c r="W44" s="6">
        <f>C44-F44</f>
        <v>102</v>
      </c>
      <c r="X44" s="6">
        <f>C44-G44</f>
        <v>100</v>
      </c>
      <c r="Y44" s="6">
        <f>C44-J44</f>
        <v>89</v>
      </c>
      <c r="Z44" s="6">
        <f>C44-K44</f>
        <v>92</v>
      </c>
      <c r="AA44" s="6">
        <f>C44-O44</f>
        <v>38</v>
      </c>
      <c r="AB44" s="6">
        <f>C44-T44</f>
        <v>99</v>
      </c>
      <c r="AC44" s="6"/>
    </row>
    <row r="45" spans="1:31" x14ac:dyDescent="0.35">
      <c r="A45" s="6" t="s">
        <v>310</v>
      </c>
      <c r="B45" s="6">
        <f>COUNTA('Data - Localities'!AA3:AA33)</f>
        <v>10</v>
      </c>
      <c r="C45" s="6">
        <f>COUNTIF('Data - Taxa'!BU3:BU169, "Y")</f>
        <v>100</v>
      </c>
      <c r="D45" s="6">
        <f>COUNTIFS('Data - Taxa'!$BU$3:$BU$169, "Y", 'Data - Taxa'!AS$3:AS$169, "Y")</f>
        <v>5</v>
      </c>
      <c r="E45" s="6">
        <f>COUNTIFS('Data - Taxa'!$BU$3:$BU$169, "Y", 'Data - Taxa'!AT$3:AT$169, "Y")</f>
        <v>20</v>
      </c>
      <c r="F45" s="6">
        <f>COUNTIFS('Data - Taxa'!$BU$3:$BU$169, "Y", 'Data - Taxa'!AU$3:AU$169, "Y")</f>
        <v>8</v>
      </c>
      <c r="G45" s="6">
        <f>COUNTIFS('Data - Taxa'!$BU$3:$BU$169, "Y", 'Data - Taxa'!AV$3:AV$169, "Y")</f>
        <v>22</v>
      </c>
      <c r="H45" s="6">
        <f>COUNTIFS('Data - Taxa'!$BU$3:$BU$169, "Y", 'Data - Taxa'!AW$3:AW$169, "Y")</f>
        <v>5</v>
      </c>
      <c r="I45" s="6">
        <f>COUNTIFS('Data - Taxa'!$BU$3:$BU$169, "Y", 'Data - Taxa'!AX$3:AX$169, "Y")</f>
        <v>3</v>
      </c>
      <c r="J45" s="6">
        <f>COUNTIFS('Data - Taxa'!$BU$3:$BU$169, "Y", 'Data - Taxa'!AY$3:AY$169, "Y")</f>
        <v>10</v>
      </c>
      <c r="K45" s="6">
        <f>COUNTIFS('Data - Taxa'!$BU$3:$BU$169, "Y", 'Data - Taxa'!AZ$3:AZ$169, "Y")</f>
        <v>27</v>
      </c>
      <c r="L45" s="6">
        <f>COUNTIFS('Data - Taxa'!$BU$3:$BU$169, "Y", 'Data - Taxa'!AN$3:AN$169, "Y")</f>
        <v>2</v>
      </c>
      <c r="M45" s="6">
        <f>COUNTIFS('Data - Taxa'!$BU$3:$BU$169, "Y", 'Data - Taxa'!AO$3:AO$169, "Y")</f>
        <v>3</v>
      </c>
      <c r="N45" s="6">
        <f>COUNTIFS('Data - Taxa'!$BU$3:$BU$169, "Y", 'Data - Taxa'!AP$3:AP$169, "Y")</f>
        <v>3</v>
      </c>
      <c r="O45" s="17">
        <f>COUNTIFS('Data - Taxa'!$BU$3:$BU$169, "Y", 'Data - Taxa'!AQ$3:AQ$169, "Y")</f>
        <v>84</v>
      </c>
      <c r="P45" s="6">
        <f>COUNTIFS('Data - Taxa'!$BU$3:$BU$169, "Y", 'Data - Taxa'!AR$3:AR$169, "Y")</f>
        <v>5</v>
      </c>
      <c r="Q45" s="6">
        <f>COUNTIFS('Data - Taxa'!$BU$3:$BU$169, "Y", 'Data - Taxa'!AN$3:AN$169, "Y", 'Data - Taxa'!$AY$3:$AY$169, "Y")</f>
        <v>1</v>
      </c>
      <c r="R45" s="6">
        <f>COUNTIFS('Data - Taxa'!$BU$3:$BU$169, "Y", 'Data - Taxa'!AO$3:AO$169, "Y", 'Data - Taxa'!$AY$3:$AY$169, "Y")</f>
        <v>2</v>
      </c>
      <c r="S45" s="6">
        <f>COUNTIFS('Data - Taxa'!$BU$3:$BU$169, "Y", 'Data - Taxa'!AQ$3:AQ$169, "Y", 'Data - Taxa'!$AY$3:$AY$169, "Y")</f>
        <v>3</v>
      </c>
      <c r="T45" s="6">
        <f>L45+M45</f>
        <v>5</v>
      </c>
      <c r="U45" s="6">
        <f>C45-D45</f>
        <v>95</v>
      </c>
      <c r="V45" s="6">
        <f>C45-D45</f>
        <v>95</v>
      </c>
      <c r="W45" s="6">
        <f>C45-F45</f>
        <v>92</v>
      </c>
      <c r="X45" s="6">
        <f>C45-G45</f>
        <v>78</v>
      </c>
      <c r="Y45" s="6">
        <f>C45-J45</f>
        <v>90</v>
      </c>
      <c r="Z45" s="6">
        <f>C45-K45</f>
        <v>73</v>
      </c>
      <c r="AA45" s="6">
        <f>C45-O45</f>
        <v>16</v>
      </c>
      <c r="AB45" s="6">
        <f>C45-T45</f>
        <v>95</v>
      </c>
      <c r="AC45" s="6"/>
    </row>
    <row r="46" spans="1:31" x14ac:dyDescent="0.35">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row>
    <row r="47" spans="1:31" x14ac:dyDescent="0.35">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row>
    <row r="48" spans="1:31" x14ac:dyDescent="0.35">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row>
    <row r="49" spans="1:31" x14ac:dyDescent="0.35">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row>
    <row r="50" spans="1:31" x14ac:dyDescent="0.3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row>
    <row r="56" spans="1:31" x14ac:dyDescent="0.3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V41"/>
  <sheetViews>
    <sheetView zoomScale="70" zoomScaleNormal="70" workbookViewId="0"/>
  </sheetViews>
  <sheetFormatPr defaultRowHeight="14.5" x14ac:dyDescent="0.35"/>
  <cols>
    <col min="1" max="1" width="48.1796875" style="20" customWidth="1"/>
    <col min="2" max="2" width="3.453125" customWidth="1"/>
    <col min="3" max="15" width="3.453125" bestFit="1" customWidth="1"/>
    <col min="16" max="16" width="3.453125" customWidth="1"/>
    <col min="17" max="17" width="3.453125" style="20" customWidth="1"/>
    <col min="18" max="18" width="3.453125" style="6" customWidth="1"/>
    <col min="19" max="25" width="3.453125" customWidth="1"/>
    <col min="26" max="26" width="3.453125" style="4" customWidth="1"/>
  </cols>
  <sheetData>
    <row r="1" spans="1:100" x14ac:dyDescent="0.35">
      <c r="A1" s="124"/>
      <c r="B1" s="200" t="s">
        <v>321</v>
      </c>
      <c r="C1" s="201"/>
      <c r="D1" s="201"/>
      <c r="E1" s="201"/>
      <c r="F1" s="201"/>
      <c r="G1" s="201"/>
      <c r="H1" s="201"/>
      <c r="I1" s="201"/>
      <c r="J1" s="201"/>
      <c r="K1" s="201"/>
      <c r="L1" s="201"/>
      <c r="M1" s="201"/>
      <c r="N1" s="201"/>
      <c r="O1" s="201"/>
      <c r="P1" s="201"/>
      <c r="Q1" s="201"/>
      <c r="R1" s="202" t="s">
        <v>169</v>
      </c>
      <c r="S1" s="203"/>
      <c r="T1" s="203"/>
      <c r="U1" s="203"/>
      <c r="V1" s="203"/>
      <c r="W1" s="203"/>
      <c r="X1" s="203"/>
      <c r="Y1" s="204"/>
      <c r="Z1" s="49"/>
    </row>
    <row r="2" spans="1:100" ht="115" customHeight="1" x14ac:dyDescent="0.35">
      <c r="A2" s="125" t="s">
        <v>171</v>
      </c>
      <c r="B2" s="45" t="s">
        <v>12</v>
      </c>
      <c r="C2" s="45" t="s">
        <v>16</v>
      </c>
      <c r="D2" s="45" t="s">
        <v>18</v>
      </c>
      <c r="E2" s="45" t="s">
        <v>24</v>
      </c>
      <c r="F2" s="45" t="s">
        <v>9</v>
      </c>
      <c r="G2" s="45" t="s">
        <v>384</v>
      </c>
      <c r="H2" s="45" t="s">
        <v>62</v>
      </c>
      <c r="I2" s="45" t="s">
        <v>83</v>
      </c>
      <c r="J2" s="45" t="s">
        <v>22</v>
      </c>
      <c r="K2" s="45" t="s">
        <v>54</v>
      </c>
      <c r="L2" s="45" t="s">
        <v>30</v>
      </c>
      <c r="M2" s="45" t="s">
        <v>28</v>
      </c>
      <c r="N2" s="45" t="s">
        <v>49</v>
      </c>
      <c r="O2" s="45" t="s">
        <v>6</v>
      </c>
      <c r="P2" s="45" t="s">
        <v>14</v>
      </c>
      <c r="Q2" s="46" t="s">
        <v>46</v>
      </c>
      <c r="R2" s="42" t="s">
        <v>12</v>
      </c>
      <c r="S2" s="42" t="s">
        <v>173</v>
      </c>
      <c r="T2" s="43" t="s">
        <v>217</v>
      </c>
      <c r="U2" s="43" t="s">
        <v>232</v>
      </c>
      <c r="V2" s="43" t="s">
        <v>218</v>
      </c>
      <c r="W2" s="43" t="s">
        <v>54</v>
      </c>
      <c r="X2" s="43" t="s">
        <v>14</v>
      </c>
      <c r="Y2" s="43" t="s">
        <v>227</v>
      </c>
      <c r="Z2" s="50" t="s">
        <v>302</v>
      </c>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row>
    <row r="3" spans="1:100" x14ac:dyDescent="0.35">
      <c r="A3" s="155" t="s">
        <v>467</v>
      </c>
      <c r="B3" s="37">
        <f>COUNTIFS('Data - Taxa'!J$3:J$169, "Y", 'Data - Taxa'!$B$3:$B$169, "Algal", 'Data - Taxa'!$AH$3:$AH$169, "Y")</f>
        <v>0</v>
      </c>
      <c r="C3" s="37">
        <f>COUNTIFS('Data - Taxa'!J$3:J$169, "Y", 'Data - Taxa'!$B$3:$B$169, "Arboreomorpha", 'Data - Taxa'!$AH$3:$AH$169, "Y")</f>
        <v>0</v>
      </c>
      <c r="D3" s="37">
        <f>COUNTIFS('Data - Taxa'!J$3:J$169, "Y", 'Data - Taxa'!$B$3:$B$169, "Bilateralomorpha", 'Data - Taxa'!$AH$3:$AH$169, "Y")</f>
        <v>0</v>
      </c>
      <c r="E3" s="37">
        <f>COUNTIFS('Data - Taxa'!J$3:J$169, "Y", 'Data - Taxa'!$B$3:$B$169, "Cnidarian", 'Data - Taxa'!$AH$3:$AH$169, "Y")</f>
        <v>0</v>
      </c>
      <c r="F3" s="37">
        <f>COUNTIFS('Data - Taxa'!J$3:J$169, "Y", 'Data - Taxa'!$B$3:$B$169, "Dickinsoniomorpha", 'Data - Taxa'!$AH$3:$AH$169, "Y")</f>
        <v>0</v>
      </c>
      <c r="G3" s="37">
        <f>COUNTIFS('Data - Taxa'!J$3:J$169, "Y", 'Data - Taxa'!$B$3:$B$169, "Complex discoidal", 'Data - Taxa'!$AH$3:$AH$169, "Y")</f>
        <v>0</v>
      </c>
      <c r="H3" s="37">
        <f>COUNTIFS('Data - Taxa'!J$3:J$169, "Y", 'Data - Taxa'!$B$3:$B$169, "Erniettomorpha", 'Data - Taxa'!$AH$3:$AH$169, "Y")</f>
        <v>0</v>
      </c>
      <c r="I3" s="37">
        <f>COUNTIFS('Data - Taxa'!J$3:J$169, "Y", 'Data - Taxa'!$B$3:$B$169, "Kimberellamorpha", 'Data - Taxa'!$AH$3:$AH$169, "Y")</f>
        <v>0</v>
      </c>
      <c r="J3" s="37">
        <f>COUNTIFS('Data - Taxa'!J$3:J$169, "Y", 'Data - Taxa'!$B$3:$B$169, "Pentaradialomorpha", 'Data - Taxa'!$AH$3:$AH$169, "Y")</f>
        <v>0</v>
      </c>
      <c r="K3" s="37">
        <f>COUNTIFS('Data - Taxa'!J$3:J$169, "Y", 'Data - Taxa'!$B$3:$B$169, "Protist", 'Data - Taxa'!$AH$3:$AH$169, "Y")</f>
        <v>1</v>
      </c>
      <c r="L3" s="37">
        <f>COUNTIFS('Data - Taxa'!J$3:J$169, "Y", 'Data - Taxa'!$B$3:$B$169, "Rangeomorpha", 'Data - Taxa'!$AH$3:$AH$169, "Y")</f>
        <v>0</v>
      </c>
      <c r="M3" s="37">
        <f>COUNTIFS('Data - Taxa'!J$3:J$169, "Y", 'Data - Taxa'!$B$3:$B$169, "Sponges", 'Data - Taxa'!$AH$3:$AH$169, "Y")</f>
        <v>0</v>
      </c>
      <c r="N3" s="37">
        <f>COUNTIFS('Data - Taxa'!J$3:J$169, "Y", 'Data - Taxa'!$B$3:$B$169, "Tetraradialomorpha", 'Data - Taxa'!$AH$3:$AH$169, "Y")</f>
        <v>0</v>
      </c>
      <c r="O3" s="37">
        <f>COUNTIFS('Data - Taxa'!J$3:J$169, "Y", 'Data - Taxa'!$B$3:$B$169, "Triradialomorpha", 'Data - Taxa'!$AH$3:$AH$169, "Y")</f>
        <v>0</v>
      </c>
      <c r="P3" s="37">
        <f>COUNTIFS('Data - Taxa'!J$3:J$169, "Y", 'Data - Taxa'!$B$3:$B$169, "Tubular", 'Data - Taxa'!$AH$3:$AH$169, "Y")</f>
        <v>0</v>
      </c>
      <c r="Q3" s="37">
        <f>COUNTIFS('Data - Taxa'!J$3:J$169, "Y", 'Data - Taxa'!$B$3:$B$169, "Miscellaneous", 'Data - Taxa'!$AH$3:$AH$169, "Y")</f>
        <v>0</v>
      </c>
      <c r="R3" s="138">
        <f>COUNTIFS('Data - Taxa'!J$3:J$169, "Y", 'Data - Taxa'!$AS$3:$AS$169, "Y", 'Data - Taxa'!$AH$3:$AH$169, "Y")</f>
        <v>0</v>
      </c>
      <c r="S3" s="37">
        <f>COUNTIFS('Data - Taxa'!J$3:J$169, "Y", 'Data - Taxa'!$AT$3:$AT$169, "Y", 'Data - Taxa'!$AH$3:$AH$169, "Y")</f>
        <v>0</v>
      </c>
      <c r="T3" s="37">
        <f>COUNTIFS('Data - Taxa'!J$3:J$169, "Y", 'Data - Taxa'!$AU$3:$AU$169, "Y", 'Data - Taxa'!$AH$3:$AH$169, "Y")</f>
        <v>0</v>
      </c>
      <c r="U3" s="37">
        <f>COUNTIFS('Data - Taxa'!J$3:J$169, "Y", 'Data - Taxa'!$AV$3:$AV$169, "Y", 'Data - Taxa'!$AH$3:$AH$169, "Y")</f>
        <v>0</v>
      </c>
      <c r="V3" s="37">
        <f>COUNTIFS('Data - Taxa'!J$3:J$169, "Y", 'Data - Taxa'!$AW$3:$AW$169, "Y", 'Data - Taxa'!$AH$3:$AH$169, "Y")</f>
        <v>0</v>
      </c>
      <c r="W3" s="37">
        <f>COUNTIFS('Data - Taxa'!J$3:J$169, "Y", 'Data - Taxa'!$AX$3:$AX$169, "Y", 'Data - Taxa'!$AH$3:$AH$169, "Y")</f>
        <v>1</v>
      </c>
      <c r="X3" s="37">
        <f>COUNTIFS('Data - Taxa'!J$3:J$169, "Y", 'Data - Taxa'!$AY$3:$AY$169, "Y", 'Data - Taxa'!$AH$3:$AH$169, "Y")</f>
        <v>0</v>
      </c>
      <c r="Y3" s="37">
        <f>COUNTIFS('Data - Taxa'!J$3:J$169, "Y", 'Data - Taxa'!$AZ$3:$AZ$169, "Y", 'Data - Taxa'!$AH$3:$AH$169, "Y")</f>
        <v>0</v>
      </c>
      <c r="Z3" s="138">
        <f>SUM(R3:Y3)</f>
        <v>1</v>
      </c>
      <c r="AB3" s="6" t="s">
        <v>392</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spans="1:100" x14ac:dyDescent="0.35">
      <c r="A4" s="153" t="s">
        <v>470</v>
      </c>
      <c r="B4">
        <f>COUNTIFS('Data - Taxa'!N$3:N$169, "Y", 'Data - Taxa'!$B$3:$B$169, "Algal", 'Data - Taxa'!$AI$3:$AI$169, "Y")</f>
        <v>0</v>
      </c>
      <c r="C4">
        <f>COUNTIFS('Data - Taxa'!N$3:N$169, "Y", 'Data - Taxa'!$B$3:$B$169, "Arboreomorpha", 'Data - Taxa'!$AI$3:$AI$169, "Y")</f>
        <v>0</v>
      </c>
      <c r="D4">
        <f>COUNTIFS('Data - Taxa'!N$3:N$169, "Y", 'Data - Taxa'!$B$3:$B$169, "Bilateralomorpha", 'Data - Taxa'!$AI$3:$AI$169, "Y")</f>
        <v>0</v>
      </c>
      <c r="E4">
        <f>COUNTIFS('Data - Taxa'!N$3:N$169, "Y", 'Data - Taxa'!$B$3:$B$169, "Cnidarian", 'Data - Taxa'!$AI$3:$AI$169, "Y")</f>
        <v>0</v>
      </c>
      <c r="F4">
        <f>COUNTIFS('Data - Taxa'!N$3:N$169, "Y", 'Data - Taxa'!$B$3:$B$169, "Dickinsoniomorpha", 'Data - Taxa'!$AI$3:$AI$169, "Y")</f>
        <v>0</v>
      </c>
      <c r="G4">
        <f>COUNTIFS('Data - Taxa'!N$3:N$169, "Y", 'Data - Taxa'!$B$3:$B$169, "Complex discoidal", 'Data - Taxa'!$AI$3:$AI$169, "Y")</f>
        <v>0</v>
      </c>
      <c r="H4">
        <f>COUNTIFS('Data - Taxa'!N$3:N$169, "Y", 'Data - Taxa'!$B$3:$B$169, "Erniettomorpha", 'Data - Taxa'!$AI$3:$AI$169, "Y")</f>
        <v>0</v>
      </c>
      <c r="I4">
        <f>COUNTIFS('Data - Taxa'!N$3:N$169, "Y", 'Data - Taxa'!$B$3:$B$169, "Kimberellamorpha", 'Data - Taxa'!$AI$3:$AI$169, "Y")</f>
        <v>0</v>
      </c>
      <c r="J4">
        <f>COUNTIFS('Data - Taxa'!N$3:N$169, "Y", 'Data - Taxa'!$B$3:$B$169, "Pentaradialomorpha", 'Data - Taxa'!$AI$3:$AI$169, "Y")</f>
        <v>0</v>
      </c>
      <c r="K4">
        <f>COUNTIFS('Data - Taxa'!N$3:N$169, "Y", 'Data - Taxa'!$B$3:$B$169, "Protist", 'Data - Taxa'!$AI$3:$AI$169, "Y")</f>
        <v>0</v>
      </c>
      <c r="L4">
        <f>COUNTIFS('Data - Taxa'!N$3:N$169, "Y", 'Data - Taxa'!$B$3:$B$169, "Rangeomorpha", 'Data - Taxa'!$AI$3:$AI$169, "Y")</f>
        <v>4</v>
      </c>
      <c r="M4">
        <f>COUNTIFS('Data - Taxa'!N$3:N$169, "Y", 'Data - Taxa'!$B$3:$B$169, "Sponges", 'Data - Taxa'!$AI$3:$AI$169, "Y")</f>
        <v>0</v>
      </c>
      <c r="N4">
        <f>COUNTIFS('Data - Taxa'!N$3:N$169, "Y", 'Data - Taxa'!$B$3:$B$169, "Tetraradialomorpha", 'Data - Taxa'!$AI$3:$AI$169, "Y")</f>
        <v>0</v>
      </c>
      <c r="O4">
        <f>COUNTIFS('Data - Taxa'!N$3:N$169, "Y", 'Data - Taxa'!$B$3:$B$169, "Triradialomorpha", 'Data - Taxa'!$AI$3:$AI$169, "Y")</f>
        <v>0</v>
      </c>
      <c r="P4">
        <f>COUNTIFS('Data - Taxa'!N$3:N$169, "Y", 'Data - Taxa'!$B$3:$B$169, "Tubular", 'Data - Taxa'!$AI$3:$AI$169, "Y")</f>
        <v>0</v>
      </c>
      <c r="Q4">
        <f>COUNTIFS('Data - Taxa'!N$3:N$169, "Y", 'Data - Taxa'!$B$3:$B$169, "Miscellaneous", 'Data - Taxa'!$AI$3:$AI$169, "Y")</f>
        <v>1</v>
      </c>
      <c r="R4" s="4">
        <f>COUNTIFS('Data - Taxa'!N$3:N$169, "Y", 'Data - Taxa'!$AS$3:$AS$169, "Y", 'Data - Taxa'!$AI$3:$AI$169, "Y")</f>
        <v>0</v>
      </c>
      <c r="S4">
        <f>COUNTIFS('Data - Taxa'!N$3:N$169, "Y", 'Data - Taxa'!$AT$3:$AT$169, "Y", 'Data - Taxa'!$AI$3:$AI$169, "Y")</f>
        <v>0</v>
      </c>
      <c r="T4">
        <f>COUNTIFS('Data - Taxa'!N$3:N$169, "Y", 'Data - Taxa'!$AU$3:$AU$169, "Y", 'Data - Taxa'!$AI$3:$AI$169, "Y")</f>
        <v>0</v>
      </c>
      <c r="U4">
        <f>COUNTIFS('Data - Taxa'!N$3:N$169, "Y", 'Data - Taxa'!$AV$3:$AV$169, "Y", 'Data - Taxa'!$AI$3:$AI$169, "Y")</f>
        <v>4</v>
      </c>
      <c r="V4">
        <f>COUNTIFS('Data - Taxa'!N$3:N$169, "Y", 'Data - Taxa'!$AW$3:$AW$169, "Y", 'Data - Taxa'!$AI$3:$AI$169, "Y")</f>
        <v>0</v>
      </c>
      <c r="W4">
        <f>COUNTIFS('Data - Taxa'!N$3:N$169, "Y", 'Data - Taxa'!$AX$3:$AX$169, "Y", 'Data - Taxa'!$AI$3:$AI$169, "Y")</f>
        <v>0</v>
      </c>
      <c r="X4">
        <f>COUNTIFS('Data - Taxa'!N$3:N$169, "Y", 'Data - Taxa'!$AY$3:$AY$169, "Y", 'Data - Taxa'!$AI$3:$AI$169, "Y")</f>
        <v>0</v>
      </c>
      <c r="Y4">
        <f>COUNTIFS('Data - Taxa'!N$3:N$169, "Y", 'Data - Taxa'!$AZ$3:$AZ$169, "Y", 'Data - Taxa'!$AI$3:$AI$169, "Y")</f>
        <v>1</v>
      </c>
      <c r="Z4" s="4">
        <f>SUM(R4:Y4)</f>
        <v>5</v>
      </c>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spans="1:100" x14ac:dyDescent="0.35">
      <c r="A5" s="153" t="s">
        <v>472</v>
      </c>
      <c r="B5">
        <f>COUNTIFS('Data - Taxa'!P$3:P$169, "Y", 'Data - Taxa'!$B$3:$B$169, "Algal", 'Data - Taxa'!$AI$3:$AI$169, "Y")</f>
        <v>0</v>
      </c>
      <c r="C5">
        <f>COUNTIFS('Data - Taxa'!P$3:P$169, "Y", 'Data - Taxa'!$B$3:$B$169, "Arboreomorpha", 'Data - Taxa'!$AI$3:$AI$169, "Y")</f>
        <v>1</v>
      </c>
      <c r="D5">
        <f>COUNTIFS('Data - Taxa'!P$3:P$169, "Y", 'Data - Taxa'!$B$3:$B$169, "Bilateralomorpha", 'Data - Taxa'!$AI$3:$AI$169, "Y")</f>
        <v>0</v>
      </c>
      <c r="E5">
        <f>COUNTIFS('Data - Taxa'!P$3:P$169, "Y", 'Data - Taxa'!$B$3:$B$169, "Cnidarian", 'Data - Taxa'!$AI$3:$AI$169, "Y")</f>
        <v>0</v>
      </c>
      <c r="F5">
        <f>COUNTIFS('Data - Taxa'!P$3:P$169, "Y", 'Data - Taxa'!$B$3:$B$169, "Dickinsoniomorpha", 'Data - Taxa'!$AI$3:$AI$169, "Y")</f>
        <v>0</v>
      </c>
      <c r="G5">
        <f>COUNTIFS('Data - Taxa'!P$3:P$169, "Y", 'Data - Taxa'!$B$3:$B$169, "Complex discoidal", 'Data - Taxa'!$AI$3:$AI$169, "Y")</f>
        <v>0</v>
      </c>
      <c r="H5">
        <f>COUNTIFS('Data - Taxa'!P$3:P$169, "Y", 'Data - Taxa'!$B$3:$B$169, "Erniettomorpha", 'Data - Taxa'!$AI$3:$AI$169, "Y")</f>
        <v>0</v>
      </c>
      <c r="I5">
        <f>COUNTIFS('Data - Taxa'!P$3:P$169, "Y", 'Data - Taxa'!$B$3:$B$169, "Kimberellamorpha", 'Data - Taxa'!$AI$3:$AI$169, "Y")</f>
        <v>0</v>
      </c>
      <c r="J5">
        <f>COUNTIFS('Data - Taxa'!P$3:P$169, "Y", 'Data - Taxa'!$B$3:$B$169, "Pentaradialomorpha", 'Data - Taxa'!$AI$3:$AI$169, "Y")</f>
        <v>0</v>
      </c>
      <c r="K5">
        <f>COUNTIFS('Data - Taxa'!P$3:P$169, "Y", 'Data - Taxa'!$B$3:$B$169, "Protist", 'Data - Taxa'!$AI$3:$AI$169, "Y")</f>
        <v>1</v>
      </c>
      <c r="L5">
        <f>COUNTIFS('Data - Taxa'!P$3:P$169, "Y", 'Data - Taxa'!$B$3:$B$169, "Rangeomorpha", 'Data - Taxa'!$AI$3:$AI$169, "Y")</f>
        <v>7</v>
      </c>
      <c r="M5">
        <f>COUNTIFS('Data - Taxa'!P$3:P$169, "Y", 'Data - Taxa'!$B$3:$B$169, "Sponges", 'Data - Taxa'!$AI$3:$AI$169, "Y")</f>
        <v>1</v>
      </c>
      <c r="N5">
        <f>COUNTIFS('Data - Taxa'!P$3:P$169, "Y", 'Data - Taxa'!$B$3:$B$169, "Tetraradialomorpha", 'Data - Taxa'!$AI$3:$AI$169, "Y")</f>
        <v>0</v>
      </c>
      <c r="O5">
        <f>COUNTIFS('Data - Taxa'!P$3:P$169, "Y", 'Data - Taxa'!$B$3:$B$169, "Triradialomorpha", 'Data - Taxa'!$AI$3:$AI$169, "Y")</f>
        <v>0</v>
      </c>
      <c r="P5">
        <f>COUNTIFS('Data - Taxa'!P$3:P$169, "Y", 'Data - Taxa'!$B$3:$B$169, "Tubular", 'Data - Taxa'!$AI$3:$AI$169, "Y")</f>
        <v>0</v>
      </c>
      <c r="Q5">
        <f>COUNTIFS('Data - Taxa'!P$3:P$169, "Y", 'Data - Taxa'!$B$3:$B$169, "Miscellaneous", 'Data - Taxa'!$AI$3:$AI$169, "Y")</f>
        <v>0</v>
      </c>
      <c r="R5" s="4">
        <f>COUNTIFS('Data - Taxa'!P$3:P$169, "Y", 'Data - Taxa'!$AS$3:$AS$169, "Y", 'Data - Taxa'!$AI$3:$AI$169, "Y")</f>
        <v>0</v>
      </c>
      <c r="S5">
        <f>COUNTIFS('Data - Taxa'!P$3:P$169, "Y", 'Data - Taxa'!$AT$3:$AT$169, "Y", 'Data - Taxa'!$AI$3:$AI$169, "Y")</f>
        <v>0</v>
      </c>
      <c r="T5">
        <f>COUNTIFS('Data - Taxa'!P$3:P$169, "Y", 'Data - Taxa'!$AU$3:$AU$169, "Y", 'Data - Taxa'!$AI$3:$AI$169, "Y")</f>
        <v>0</v>
      </c>
      <c r="U5">
        <f>COUNTIFS('Data - Taxa'!P$3:P$169, "Y", 'Data - Taxa'!$AV$3:$AV$169, "Y", 'Data - Taxa'!$AI$3:$AI$169, "Y")</f>
        <v>8</v>
      </c>
      <c r="V5">
        <f>COUNTIFS('Data - Taxa'!P$3:P$169, "Y", 'Data - Taxa'!$AW$3:$AW$169, "Y", 'Data - Taxa'!$AI$3:$AI$169, "Y")</f>
        <v>0</v>
      </c>
      <c r="W5">
        <f>COUNTIFS('Data - Taxa'!P$3:P$169, "Y", 'Data - Taxa'!$AX$3:$AX$169, "Y", 'Data - Taxa'!$AI$3:$AI$169, "Y")</f>
        <v>1</v>
      </c>
      <c r="X5">
        <f>COUNTIFS('Data - Taxa'!P$3:P$169, "Y", 'Data - Taxa'!$AY$3:$AY$169, "Y", 'Data - Taxa'!$AI$3:$AI$169, "Y")</f>
        <v>0</v>
      </c>
      <c r="Y5">
        <f>COUNTIFS('Data - Taxa'!P$3:P$169, "Y", 'Data - Taxa'!$AZ$3:$AZ$169, "Y", 'Data - Taxa'!$AI$3:$AI$169, "Y")</f>
        <v>1</v>
      </c>
      <c r="Z5" s="4">
        <f>SUM(R5:Y5)</f>
        <v>10</v>
      </c>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row>
    <row r="6" spans="1:100" x14ac:dyDescent="0.35">
      <c r="A6" s="48" t="s">
        <v>474</v>
      </c>
      <c r="B6" s="37">
        <f>COUNTIFS('Data - Taxa'!S$3:S$169, "Y", 'Data - Taxa'!$B$3:$B$169, "Algal", 'Data - Taxa'!$AH$3:$AH$169, "Y")</f>
        <v>4</v>
      </c>
      <c r="C6" s="37">
        <f>COUNTIFS('Data - Taxa'!S$3:S$169, "Y", 'Data - Taxa'!$B$3:$B$169, "Arboreomorpha", 'Data - Taxa'!$AH$3:$AH$169, "Y")</f>
        <v>0</v>
      </c>
      <c r="D6" s="37">
        <f>COUNTIFS('Data - Taxa'!S$3:S$169, "Y", 'Data - Taxa'!$B$3:$B$169, "Bilateralomorpha", 'Data - Taxa'!$AH$3:$AH$169, "Y")</f>
        <v>0</v>
      </c>
      <c r="E6" s="37">
        <f>COUNTIFS('Data - Taxa'!S$3:S$169, "Y", 'Data - Taxa'!$B$3:$B$169, "Cnidarian", 'Data - Taxa'!$AH$3:$AH$169, "Y")</f>
        <v>0</v>
      </c>
      <c r="F6" s="37">
        <f>COUNTIFS('Data - Taxa'!S$3:S$169, "Y", 'Data - Taxa'!$B$3:$B$169, "Dickinsoniomorpha", 'Data - Taxa'!$AH$3:$AH$169, "Y")</f>
        <v>0</v>
      </c>
      <c r="G6" s="37">
        <f>COUNTIFS('Data - Taxa'!S$3:S$169, "Y", 'Data - Taxa'!$B$3:$B$169, "Complex discoidal", 'Data - Taxa'!$AH$3:$AH$169, "Y")</f>
        <v>0</v>
      </c>
      <c r="H6" s="37">
        <f>COUNTIFS('Data - Taxa'!S$3:S$169, "Y", 'Data - Taxa'!$B$3:$B$169, "Erniettomorpha", 'Data - Taxa'!$AH$3:$AH$169, "Y")</f>
        <v>0</v>
      </c>
      <c r="I6" s="37">
        <f>COUNTIFS('Data - Taxa'!S$3:S$169, "Y", 'Data - Taxa'!$B$3:$B$169, "Kimberellamorpha", 'Data - Taxa'!$AH$3:$AH$169, "Y")</f>
        <v>0</v>
      </c>
      <c r="J6" s="37">
        <f>COUNTIFS('Data - Taxa'!S$3:S$169, "Y", 'Data - Taxa'!$B$3:$B$169, "Pentaradialomorpha", 'Data - Taxa'!$AH$3:$AH$169, "Y")</f>
        <v>0</v>
      </c>
      <c r="K6" s="37">
        <f>COUNTIFS('Data - Taxa'!S$3:S$169, "Y", 'Data - Taxa'!$B$3:$B$169, "Protist", 'Data - Taxa'!$AH$3:$AH$169, "Y")</f>
        <v>2</v>
      </c>
      <c r="L6" s="37">
        <f>COUNTIFS('Data - Taxa'!S$3:S$169, "Y", 'Data - Taxa'!$B$3:$B$169, "Rangeomorpha", 'Data - Taxa'!$AH$3:$AH$169, "Y")</f>
        <v>0</v>
      </c>
      <c r="M6" s="37">
        <f>COUNTIFS('Data - Taxa'!S$3:S$169, "Y", 'Data - Taxa'!$B$3:$B$169, "Sponges", 'Data - Taxa'!$AH$3:$AH$169, "Y")</f>
        <v>0</v>
      </c>
      <c r="N6" s="37">
        <f>COUNTIFS('Data - Taxa'!S$3:S$169, "Y", 'Data - Taxa'!$B$3:$B$169, "Tetraradialomorpha", 'Data - Taxa'!$AH$3:$AH$169, "Y")</f>
        <v>0</v>
      </c>
      <c r="O6" s="37">
        <f>COUNTIFS('Data - Taxa'!S$3:S$169, "Y", 'Data - Taxa'!$B$3:$B$169, "Triradialomorpha", 'Data - Taxa'!$AH$3:$AH$169, "Y")</f>
        <v>0</v>
      </c>
      <c r="P6" s="37">
        <f>COUNTIFS('Data - Taxa'!S$3:S$169, "Y", 'Data - Taxa'!$B$3:$B$169, "Tubular", 'Data - Taxa'!$AH$3:$AH$169, "Y")</f>
        <v>0</v>
      </c>
      <c r="Q6" s="37">
        <f>COUNTIFS('Data - Taxa'!S$3:S$169, "Y", 'Data - Taxa'!$B$3:$B$169, "Miscellaneous", 'Data - Taxa'!$AH$3:$AH$169, "Y")</f>
        <v>3</v>
      </c>
      <c r="R6" s="138">
        <f>COUNTIFS('Data - Taxa'!S$3:S$169, "Y", 'Data - Taxa'!$AS$3:$AS$169, "Y", 'Data - Taxa'!$AH$3:$AH$169, "Y")</f>
        <v>4</v>
      </c>
      <c r="S6" s="37">
        <f>COUNTIFS('Data - Taxa'!S$3:S$169, "Y", 'Data - Taxa'!$AT$3:$AT$169, "Y", 'Data - Taxa'!$AH$3:$AH$169, "Y")</f>
        <v>0</v>
      </c>
      <c r="T6" s="37">
        <f>COUNTIFS('Data - Taxa'!S$3:S$169, "Y", 'Data - Taxa'!$AU$3:$AU$169, "Y", 'Data - Taxa'!$AH$3:$AH$169, "Y")</f>
        <v>0</v>
      </c>
      <c r="U6" s="37">
        <f>COUNTIFS('Data - Taxa'!S$3:S$169, "Y", 'Data - Taxa'!$AV$3:$AV$169, "Y", 'Data - Taxa'!$AH$3:$AH$169, "Y")</f>
        <v>0</v>
      </c>
      <c r="V6" s="37">
        <f>COUNTIFS('Data - Taxa'!S$3:S$169, "Y", 'Data - Taxa'!$AW$3:$AW$169, "Y", 'Data - Taxa'!$AH$3:$AH$169, "Y")</f>
        <v>0</v>
      </c>
      <c r="W6" s="37">
        <f>COUNTIFS('Data - Taxa'!S$3:S$169, "Y", 'Data - Taxa'!$AX$3:$AX$169, "Y", 'Data - Taxa'!$AH$3:$AH$169, "Y")</f>
        <v>2</v>
      </c>
      <c r="X6" s="37">
        <f>COUNTIFS('Data - Taxa'!S$3:S$169, "Y", 'Data - Taxa'!$AY$3:$AY$169, "Y", 'Data - Taxa'!$AH$3:$AH$169, "Y")</f>
        <v>0</v>
      </c>
      <c r="Y6" s="37">
        <f>COUNTIFS('Data - Taxa'!S$3:S$169, "Y", 'Data - Taxa'!$AZ$3:$AZ$169, "Y", 'Data - Taxa'!$AH$3:$AH$169, "Y")</f>
        <v>3</v>
      </c>
      <c r="Z6" s="138">
        <f>SUM(R6:Y6)</f>
        <v>9</v>
      </c>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row>
    <row r="7" spans="1:100" x14ac:dyDescent="0.35">
      <c r="A7" s="153" t="s">
        <v>487</v>
      </c>
      <c r="B7">
        <f>COUNTIFS('Data - Taxa'!AG$3:AG$169, "Y", 'Data - Taxa'!$B$3:$B$169, "Algal", 'Data - Taxa'!$AI$3:$AI$169, "Y")</f>
        <v>0</v>
      </c>
      <c r="C7">
        <f>COUNTIFS('Data - Taxa'!AG$3:AG$169, "Y", 'Data - Taxa'!$B$3:$B$169, "Arboreomorpha", 'Data - Taxa'!$AI$3:$AI$169, "Y")</f>
        <v>0</v>
      </c>
      <c r="D7">
        <f>COUNTIFS('Data - Taxa'!AG$3:AG$169, "Y", 'Data - Taxa'!$B$3:$B$169, "Bilateralomorpha", 'Data - Taxa'!$AI$3:$AI$169, "Y")</f>
        <v>0</v>
      </c>
      <c r="E7">
        <f>COUNTIFS('Data - Taxa'!AG$3:AG$169, "Y", 'Data - Taxa'!$B$3:$B$169, "Cnidarian", 'Data - Taxa'!$AI$3:$AI$169, "Y")</f>
        <v>0</v>
      </c>
      <c r="F7">
        <f>COUNTIFS('Data - Taxa'!AG$3:AG$169, "Y", 'Data - Taxa'!$B$3:$B$169, "Dickinsoniomorpha", 'Data - Taxa'!$AI$3:$AI$169, "Y")</f>
        <v>0</v>
      </c>
      <c r="G7">
        <f>COUNTIFS('Data - Taxa'!AG$3:AG$169, "Y", 'Data - Taxa'!$B$3:$B$169, "Complex discoidal", 'Data - Taxa'!$AI$3:$AI$169, "Y")</f>
        <v>0</v>
      </c>
      <c r="H7">
        <f>COUNTIFS('Data - Taxa'!AG$3:AG$169, "Y", 'Data - Taxa'!$B$3:$B$169, "Erniettomorpha", 'Data - Taxa'!$AI$3:$AI$169, "Y")</f>
        <v>0</v>
      </c>
      <c r="I7">
        <f>COUNTIFS('Data - Taxa'!AG$3:AG$169, "Y", 'Data - Taxa'!$B$3:$B$169, "Kimberellamorpha", 'Data - Taxa'!$AI$3:$AI$169, "Y")</f>
        <v>0</v>
      </c>
      <c r="J7">
        <f>COUNTIFS('Data - Taxa'!AG$3:AG$169, "Y", 'Data - Taxa'!$B$3:$B$169, "Pentaradialomorpha", 'Data - Taxa'!$AI$3:$AI$169, "Y")</f>
        <v>0</v>
      </c>
      <c r="K7">
        <f>COUNTIFS('Data - Taxa'!AG$3:AG$169, "Y", 'Data - Taxa'!$B$3:$B$169, "Protist", 'Data - Taxa'!$AI$3:$AI$169, "Y")</f>
        <v>1</v>
      </c>
      <c r="L7">
        <f>COUNTIFS('Data - Taxa'!AG$3:AG$169, "Y", 'Data - Taxa'!$B$3:$B$169, "Rangeomorpha", 'Data - Taxa'!$AI$3:$AI$169, "Y")</f>
        <v>0</v>
      </c>
      <c r="M7">
        <f>COUNTIFS('Data - Taxa'!AG$3:AG$169, "Y", 'Data - Taxa'!$B$3:$B$169, "Sponges", 'Data - Taxa'!$AI$3:$AI$169, "Y")</f>
        <v>0</v>
      </c>
      <c r="N7">
        <f>COUNTIFS('Data - Taxa'!AG$3:AG$169, "Y", 'Data - Taxa'!$B$3:$B$169, "Tetraradialomorpha", 'Data - Taxa'!$AI$3:$AI$169, "Y")</f>
        <v>0</v>
      </c>
      <c r="O7">
        <f>COUNTIFS('Data - Taxa'!AG$3:AG$169, "Y", 'Data - Taxa'!$B$3:$B$169, "Triradialomorpha", 'Data - Taxa'!$AI$3:$AI$169, "Y")</f>
        <v>0</v>
      </c>
      <c r="P7">
        <f>COUNTIFS('Data - Taxa'!AG$3:AG$169, "Y", 'Data - Taxa'!$B$3:$B$169, "Tubular", 'Data - Taxa'!$AI$3:$AI$169, "Y")</f>
        <v>3</v>
      </c>
      <c r="Q7">
        <f>COUNTIFS('Data - Taxa'!AG$3:AG$169, "Y", 'Data - Taxa'!$B$3:$B$169, "Miscellaneous", 'Data - Taxa'!$AI$3:$AI$169, "Y")</f>
        <v>0</v>
      </c>
      <c r="R7" s="4">
        <f>COUNTIFS('Data - Taxa'!AG$3:AG$169, "Y", 'Data - Taxa'!$AS$3:$AS$169, "Y", 'Data - Taxa'!$AI$3:$AI$169, "Y")</f>
        <v>0</v>
      </c>
      <c r="S7">
        <f>COUNTIFS('Data - Taxa'!AG$3:AG$169, "Y", 'Data - Taxa'!$AT$3:$AT$169, "Y", 'Data - Taxa'!$AI$3:$AI$169, "Y")</f>
        <v>0</v>
      </c>
      <c r="T7">
        <f>COUNTIFS('Data - Taxa'!AG$3:AG$169, "Y", 'Data - Taxa'!$AU$3:$AU$169, "Y", 'Data - Taxa'!$AI$3:$AI$169, "Y")</f>
        <v>0</v>
      </c>
      <c r="U7">
        <f>COUNTIFS('Data - Taxa'!AG$3:AG$169, "Y", 'Data - Taxa'!$AV$3:$AV$169, "Y", 'Data - Taxa'!$AI$3:$AI$169, "Y")</f>
        <v>0</v>
      </c>
      <c r="V7">
        <f>COUNTIFS('Data - Taxa'!AG$3:AG$169, "Y", 'Data - Taxa'!$AW$3:$AW$169, "Y", 'Data - Taxa'!$AI$3:$AI$169, "Y")</f>
        <v>0</v>
      </c>
      <c r="W7">
        <f>COUNTIFS('Data - Taxa'!AG$3:AG$169, "Y", 'Data - Taxa'!$AX$3:$AX$169, "Y", 'Data - Taxa'!$AI$3:$AI$169, "Y")</f>
        <v>1</v>
      </c>
      <c r="X7">
        <f>COUNTIFS('Data - Taxa'!AG$3:AG$169, "Y", 'Data - Taxa'!$AY$3:$AY$169, "Y", 'Data - Taxa'!$AI$3:$AI$169, "Y")</f>
        <v>3</v>
      </c>
      <c r="Y7">
        <f>COUNTIFS('Data - Taxa'!AG$3:AG$169, "Y", 'Data - Taxa'!$AZ$3:$AZ$169, "Y", 'Data - Taxa'!$AI$3:$AI$169, "Y")</f>
        <v>0</v>
      </c>
      <c r="Z7" s="4">
        <f>SUM(R7:Y7)</f>
        <v>4</v>
      </c>
    </row>
    <row r="10" spans="1:100" x14ac:dyDescent="0.35">
      <c r="R10"/>
    </row>
    <row r="11" spans="1:100" x14ac:dyDescent="0.35">
      <c r="R11"/>
    </row>
    <row r="12" spans="1:100" x14ac:dyDescent="0.35">
      <c r="R12"/>
    </row>
    <row r="13" spans="1:100" x14ac:dyDescent="0.35">
      <c r="R13"/>
    </row>
    <row r="14" spans="1:100" x14ac:dyDescent="0.35">
      <c r="R14"/>
    </row>
    <row r="15" spans="1:100" x14ac:dyDescent="0.35">
      <c r="R15"/>
    </row>
    <row r="16" spans="1:100" x14ac:dyDescent="0.35">
      <c r="R16"/>
    </row>
    <row r="17" spans="18:18" x14ac:dyDescent="0.35">
      <c r="R17"/>
    </row>
    <row r="18" spans="18:18" x14ac:dyDescent="0.35">
      <c r="R18"/>
    </row>
    <row r="19" spans="18:18" x14ac:dyDescent="0.35">
      <c r="R19"/>
    </row>
    <row r="20" spans="18:18" x14ac:dyDescent="0.35">
      <c r="R20"/>
    </row>
    <row r="21" spans="18:18" x14ac:dyDescent="0.35">
      <c r="R21"/>
    </row>
    <row r="22" spans="18:18" x14ac:dyDescent="0.35">
      <c r="R22"/>
    </row>
    <row r="23" spans="18:18" x14ac:dyDescent="0.35">
      <c r="R23"/>
    </row>
    <row r="24" spans="18:18" x14ac:dyDescent="0.35">
      <c r="R24"/>
    </row>
    <row r="25" spans="18:18" x14ac:dyDescent="0.35">
      <c r="R25"/>
    </row>
    <row r="26" spans="18:18" x14ac:dyDescent="0.35">
      <c r="R26"/>
    </row>
    <row r="27" spans="18:18" x14ac:dyDescent="0.35">
      <c r="R27"/>
    </row>
    <row r="28" spans="18:18" x14ac:dyDescent="0.35">
      <c r="R28"/>
    </row>
    <row r="29" spans="18:18" x14ac:dyDescent="0.35">
      <c r="R29"/>
    </row>
    <row r="30" spans="18:18" x14ac:dyDescent="0.35">
      <c r="R30"/>
    </row>
    <row r="31" spans="18:18" x14ac:dyDescent="0.35">
      <c r="R31"/>
    </row>
    <row r="32" spans="18:18" x14ac:dyDescent="0.35">
      <c r="R32"/>
    </row>
    <row r="33" spans="18:18" x14ac:dyDescent="0.35">
      <c r="R33"/>
    </row>
    <row r="34" spans="18:18" x14ac:dyDescent="0.35">
      <c r="R34"/>
    </row>
    <row r="35" spans="18:18" x14ac:dyDescent="0.35">
      <c r="R35"/>
    </row>
    <row r="36" spans="18:18" x14ac:dyDescent="0.35">
      <c r="R36"/>
    </row>
    <row r="37" spans="18:18" x14ac:dyDescent="0.35">
      <c r="R37"/>
    </row>
    <row r="38" spans="18:18" x14ac:dyDescent="0.35">
      <c r="R38"/>
    </row>
    <row r="39" spans="18:18" x14ac:dyDescent="0.35">
      <c r="R39"/>
    </row>
    <row r="40" spans="18:18" x14ac:dyDescent="0.35">
      <c r="R40"/>
    </row>
    <row r="41" spans="18:18" x14ac:dyDescent="0.35">
      <c r="R41"/>
    </row>
  </sheetData>
  <mergeCells count="2">
    <mergeCell ref="B1:Q1"/>
    <mergeCell ref="R1:Y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6"/>
  <sheetViews>
    <sheetView zoomScale="70" zoomScaleNormal="70" workbookViewId="0"/>
  </sheetViews>
  <sheetFormatPr defaultRowHeight="14.5" x14ac:dyDescent="0.35"/>
  <cols>
    <col min="1" max="1" width="49.81640625" style="20" customWidth="1"/>
    <col min="2" max="15" width="3.453125" bestFit="1" customWidth="1"/>
    <col min="16" max="17" width="3.453125" customWidth="1"/>
    <col min="18" max="18" width="3.453125" style="4" customWidth="1"/>
    <col min="19" max="25" width="3.453125" customWidth="1"/>
    <col min="26" max="26" width="3.453125" style="4" customWidth="1"/>
  </cols>
  <sheetData>
    <row r="1" spans="1:30" x14ac:dyDescent="0.35">
      <c r="A1" s="124"/>
      <c r="B1" s="200" t="s">
        <v>321</v>
      </c>
      <c r="C1" s="201"/>
      <c r="D1" s="201"/>
      <c r="E1" s="201"/>
      <c r="F1" s="201"/>
      <c r="G1" s="201"/>
      <c r="H1" s="201"/>
      <c r="I1" s="201"/>
      <c r="J1" s="201"/>
      <c r="K1" s="201"/>
      <c r="L1" s="201"/>
      <c r="M1" s="201"/>
      <c r="N1" s="201"/>
      <c r="O1" s="201"/>
      <c r="P1" s="201"/>
      <c r="Q1" s="201"/>
      <c r="R1" s="202" t="s">
        <v>169</v>
      </c>
      <c r="S1" s="203"/>
      <c r="T1" s="203"/>
      <c r="U1" s="203"/>
      <c r="V1" s="203"/>
      <c r="W1" s="203"/>
      <c r="X1" s="203"/>
      <c r="Y1" s="204"/>
      <c r="Z1" s="49"/>
    </row>
    <row r="2" spans="1:30" ht="115" customHeight="1" x14ac:dyDescent="0.35">
      <c r="A2" s="125" t="s">
        <v>171</v>
      </c>
      <c r="B2" s="45" t="s">
        <v>12</v>
      </c>
      <c r="C2" s="45" t="s">
        <v>16</v>
      </c>
      <c r="D2" s="45" t="s">
        <v>18</v>
      </c>
      <c r="E2" s="45" t="s">
        <v>24</v>
      </c>
      <c r="F2" s="45" t="s">
        <v>9</v>
      </c>
      <c r="G2" s="45" t="s">
        <v>384</v>
      </c>
      <c r="H2" s="45" t="s">
        <v>62</v>
      </c>
      <c r="I2" s="45" t="s">
        <v>83</v>
      </c>
      <c r="J2" s="45" t="s">
        <v>22</v>
      </c>
      <c r="K2" s="45" t="s">
        <v>54</v>
      </c>
      <c r="L2" s="45" t="s">
        <v>30</v>
      </c>
      <c r="M2" s="45" t="s">
        <v>28</v>
      </c>
      <c r="N2" s="45" t="s">
        <v>49</v>
      </c>
      <c r="O2" s="45" t="s">
        <v>6</v>
      </c>
      <c r="P2" s="45" t="s">
        <v>14</v>
      </c>
      <c r="Q2" s="45" t="s">
        <v>46</v>
      </c>
      <c r="R2" s="44" t="s">
        <v>12</v>
      </c>
      <c r="S2" s="42" t="s">
        <v>173</v>
      </c>
      <c r="T2" s="43" t="s">
        <v>217</v>
      </c>
      <c r="U2" s="43" t="s">
        <v>232</v>
      </c>
      <c r="V2" s="43" t="s">
        <v>218</v>
      </c>
      <c r="W2" s="43" t="s">
        <v>54</v>
      </c>
      <c r="X2" s="43" t="s">
        <v>14</v>
      </c>
      <c r="Y2" s="43" t="s">
        <v>227</v>
      </c>
      <c r="Z2" s="50" t="s">
        <v>302</v>
      </c>
    </row>
    <row r="3" spans="1:30" x14ac:dyDescent="0.35">
      <c r="A3" s="156" t="s">
        <v>466</v>
      </c>
      <c r="B3">
        <f>COUNTIFS('Data - Taxa'!I$3:I$169, "Y", 'Data - Taxa'!$B$3:$B$169, "Algal", 'Data - Taxa'!$AK$3:$AK$169, "Y")</f>
        <v>0</v>
      </c>
      <c r="C3">
        <f>COUNTIFS('Data - Taxa'!I$3:I$169, "Y", 'Data - Taxa'!$B$3:$B$169, "Arboreomorpha", 'Data - Taxa'!$AK$3:$AK$169, "Y")</f>
        <v>0</v>
      </c>
      <c r="D3">
        <f>COUNTIFS('Data - Taxa'!I$3:I$169, "Y", 'Data - Taxa'!$B$3:$B$169, "Bilateralomorpha", 'Data - Taxa'!$AK$3:$AK$169, "Y")</f>
        <v>0</v>
      </c>
      <c r="E3">
        <f>COUNTIFS('Data - Taxa'!I$3:I$169, "Y", 'Data - Taxa'!$B$3:$B$169, "Cnidarian", 'Data - Taxa'!$AK$3:$AK$169, "Y")</f>
        <v>0</v>
      </c>
      <c r="F3">
        <f>COUNTIFS('Data - Taxa'!I$3:I$169, "Y", 'Data - Taxa'!$B$3:$B$169, "Dickinsoniomorpha", 'Data - Taxa'!$AK$3:$AK$169, "Y")</f>
        <v>0</v>
      </c>
      <c r="G3">
        <f>COUNTIFS('Data - Taxa'!I$3:I$169, "Y", 'Data - Taxa'!$B$3:$B$169, "Complex discoidal", 'Data - Taxa'!$AK$3:$AK$169, "Y")</f>
        <v>0</v>
      </c>
      <c r="H3">
        <f>COUNTIFS('Data - Taxa'!I$3:I$169, "Y", 'Data - Taxa'!$B$3:$B$169, "Erniettomorpha", 'Data - Taxa'!$AK$3:$AK$169, "Y")</f>
        <v>0</v>
      </c>
      <c r="I3">
        <f>COUNTIFS('Data - Taxa'!I$3:I$169, "Y", 'Data - Taxa'!$B$3:$B$169, "Kimberellamorpha", 'Data - Taxa'!$AK$3:$AK$169, "Y")</f>
        <v>0</v>
      </c>
      <c r="J3">
        <f>COUNTIFS('Data - Taxa'!I$3:I$169, "Y", 'Data - Taxa'!$B$3:$B$169, "Pentaradialomorpha", 'Data - Taxa'!$AK$3:$AK$169, "Y")</f>
        <v>0</v>
      </c>
      <c r="K3">
        <f>COUNTIFS('Data - Taxa'!I$3:I$169, "Y", 'Data - Taxa'!$B$3:$B$169, "Protist", 'Data - Taxa'!$AK$3:$AK$169, "Y")</f>
        <v>1</v>
      </c>
      <c r="L3">
        <f>COUNTIFS('Data - Taxa'!I$3:I$169, "Y", 'Data - Taxa'!$B$3:$B$169, "Rangeomorpha", 'Data - Taxa'!$AK$3:$AK$169, "Y")</f>
        <v>0</v>
      </c>
      <c r="M3">
        <f>COUNTIFS('Data - Taxa'!I$3:I$169, "Y", 'Data - Taxa'!$B$3:$B$169, "Sponges", 'Data - Taxa'!$AK$3:$AK$169, "Y")</f>
        <v>0</v>
      </c>
      <c r="N3">
        <f>COUNTIFS('Data - Taxa'!I$3:I$169, "Y", 'Data - Taxa'!$B$3:$B$169, "Tetraradialomorpha", 'Data - Taxa'!$AK$3:$AK$169, "Y")</f>
        <v>0</v>
      </c>
      <c r="O3">
        <f>COUNTIFS('Data - Taxa'!I$3:I$169, "Y", 'Data - Taxa'!$B$3:$B$169, "Triradialomorpha", 'Data - Taxa'!$AK$3:$AK$169, "Y")</f>
        <v>0</v>
      </c>
      <c r="P3">
        <f>COUNTIFS('Data - Taxa'!I$3:I$169, "Y", 'Data - Taxa'!$B$3:$B$169, "Tubular", 'Data - Taxa'!$AK$3:$AK$169, "Y")</f>
        <v>0</v>
      </c>
      <c r="Q3">
        <f>COUNTIFS('Data - Taxa'!I$3:I$169, "Y", 'Data - Taxa'!$B$3:$B$169, "Miscellaneous", 'Data - Taxa'!$AK$3:$AK$169, "Y")</f>
        <v>0</v>
      </c>
      <c r="R3" s="4">
        <f>COUNTIFS('Data - Taxa'!I$3:I$169, "Y", 'Data - Taxa'!$AS$3:$AS$169, "Y", 'Data - Taxa'!$AK$3:$AK$169, "Y")</f>
        <v>0</v>
      </c>
      <c r="S3">
        <f>COUNTIFS('Data - Taxa'!I$3:I$169, "Y", 'Data - Taxa'!$AT$3:$AT$169, "Y", 'Data - Taxa'!$AK$3:$AK$169, "Y")</f>
        <v>0</v>
      </c>
      <c r="T3">
        <f>COUNTIFS('Data - Taxa'!I$3:I$169, "Y", 'Data - Taxa'!$AU$3:$AU$169, "Y", 'Data - Taxa'!$AK$3:$AK$169, "Y")</f>
        <v>0</v>
      </c>
      <c r="U3">
        <f>COUNTIFS('Data - Taxa'!I$3:I$169, "Y", 'Data - Taxa'!$AV$3:$AV$169, "Y", 'Data - Taxa'!$AK$3:$AK$169, "Y")</f>
        <v>0</v>
      </c>
      <c r="V3">
        <f>COUNTIFS('Data - Taxa'!I$3:I$169, "Y", 'Data - Taxa'!$AW$3:$AW$169, "Y", 'Data - Taxa'!$AK$3:$AK$169, "Y")</f>
        <v>0</v>
      </c>
      <c r="W3">
        <f>COUNTIFS('Data - Taxa'!I$3:I$169, "Y", 'Data - Taxa'!$AX$3:$AX$169, "Y", 'Data - Taxa'!$AK$3:$AK$169, "Y")</f>
        <v>1</v>
      </c>
      <c r="X3">
        <f>COUNTIFS('Data - Taxa'!I$3:I$169, "Y", 'Data - Taxa'!$AY$3:$AY$169, "Y", 'Data - Taxa'!$AK$3:$AK$169, "Y")</f>
        <v>0</v>
      </c>
      <c r="Y3">
        <f>COUNTIFS('Data - Taxa'!I$3:I$169, "Y", 'Data - Taxa'!$AZ$3:$AZ$169, "Y", 'Data - Taxa'!$AK$3:$AK$169, "Y")</f>
        <v>0</v>
      </c>
      <c r="Z3" s="4">
        <f>SUM(R3:Y3)</f>
        <v>1</v>
      </c>
    </row>
    <row r="4" spans="1:30" x14ac:dyDescent="0.35">
      <c r="A4" s="153" t="s">
        <v>472</v>
      </c>
      <c r="B4">
        <f>COUNTIFS('Data - Taxa'!P$3:P$169, "Y", 'Data - Taxa'!$B$3:$B$169, "Algal", 'Data - Taxa'!$AJ$3:$AJ$169, "Y")</f>
        <v>0</v>
      </c>
      <c r="C4">
        <f>COUNTIFS('Data - Taxa'!P$3:P$169, "Y", 'Data - Taxa'!$B$3:$B$169, "Arboreomorpha", 'Data - Taxa'!$AJ$3:$AJ$169, "Y")</f>
        <v>2</v>
      </c>
      <c r="D4">
        <f>COUNTIFS('Data - Taxa'!P$3:P$169, "Y", 'Data - Taxa'!$B$3:$B$169, "Bilateralomorpha", 'Data - Taxa'!$AJ$3:$AJ$169, "Y")</f>
        <v>0</v>
      </c>
      <c r="E4">
        <f>COUNTIFS('Data - Taxa'!P$3:P$169, "Y", 'Data - Taxa'!$B$3:$B$169, "Cnidarian", 'Data - Taxa'!$AJ$3:$AJ$169, "Y")</f>
        <v>1</v>
      </c>
      <c r="F4">
        <f>COUNTIFS('Data - Taxa'!P$3:P$169, "Y", 'Data - Taxa'!$B$3:$B$169, "Dickinsoniomorpha", 'Data - Taxa'!$AJ$3:$AJ$169, "Y")</f>
        <v>0</v>
      </c>
      <c r="G4">
        <f>COUNTIFS('Data - Taxa'!P$3:P$169, "Y", 'Data - Taxa'!$B$3:$B$169, "Complex discoidal", 'Data - Taxa'!$AJ$3:$AJ$169, "Y")</f>
        <v>0</v>
      </c>
      <c r="H4">
        <f>COUNTIFS('Data - Taxa'!P$3:P$169, "Y", 'Data - Taxa'!$B$3:$B$169, "Erniettomorpha", 'Data - Taxa'!$AJ$3:$AJ$169, "Y")</f>
        <v>0</v>
      </c>
      <c r="I4">
        <f>COUNTIFS('Data - Taxa'!P$3:P$169, "Y", 'Data - Taxa'!$B$3:$B$169, "Kimberellamorpha", 'Data - Taxa'!$AJ$3:$AJ$169, "Y")</f>
        <v>0</v>
      </c>
      <c r="J4">
        <f>COUNTIFS('Data - Taxa'!P$3:P$169, "Y", 'Data - Taxa'!$B$3:$B$169, "Pentaradialomorpha", 'Data - Taxa'!$AJ$3:$AJ$169, "Y")</f>
        <v>0</v>
      </c>
      <c r="K4">
        <f>COUNTIFS('Data - Taxa'!P$3:P$169, "Y", 'Data - Taxa'!$B$3:$B$169, "Protist", 'Data - Taxa'!$AJ$3:$AJ$169, "Y")</f>
        <v>2</v>
      </c>
      <c r="L4">
        <f>COUNTIFS('Data - Taxa'!P$3:P$169, "Y", 'Data - Taxa'!$B$3:$B$169, "Rangeomorpha", 'Data - Taxa'!$AJ$3:$AJ$169, "Y")</f>
        <v>14</v>
      </c>
      <c r="M4">
        <f>COUNTIFS('Data - Taxa'!P$3:P$169, "Y", 'Data - Taxa'!$B$3:$B$169, "Sponges", 'Data - Taxa'!$AJ$3:$AJ$169, "Y")</f>
        <v>1</v>
      </c>
      <c r="N4">
        <f>COUNTIFS('Data - Taxa'!P$3:P$169, "Y", 'Data - Taxa'!$B$3:$B$169, "Tetraradialomorpha", 'Data - Taxa'!$AJ$3:$AJ$169, "Y")</f>
        <v>0</v>
      </c>
      <c r="O4">
        <f>COUNTIFS('Data - Taxa'!P$3:P$169, "Y", 'Data - Taxa'!$B$3:$B$169, "Triradialomorpha", 'Data - Taxa'!$AJ$3:$AJ$169, "Y")</f>
        <v>1</v>
      </c>
      <c r="P4">
        <f>COUNTIFS('Data - Taxa'!P$3:P$169, "Y", 'Data - Taxa'!$B$3:$B$169, "Tubular", 'Data - Taxa'!$AJ$3:$AJ$169, "Y")</f>
        <v>0</v>
      </c>
      <c r="Q4">
        <f>COUNTIFS('Data - Taxa'!P$3:P$169, "Y", 'Data - Taxa'!$B$3:$B$169, "Miscellaneous", 'Data - Taxa'!$AJ$3:$AJ$169, "Y")+1</f>
        <v>3</v>
      </c>
      <c r="R4" s="4">
        <f>COUNTIFS('Data - Taxa'!P$3:P$169, "Y", 'Data - Taxa'!$AS$3:$AS$169, "Y", 'Data - Taxa'!$AJ$3:$AJ$169, "Y")</f>
        <v>0</v>
      </c>
      <c r="S4">
        <f>COUNTIFS('Data - Taxa'!P$3:P$169, "Y", 'Data - Taxa'!$AT$3:$AT$169, "Y", 'Data - Taxa'!$AJ$3:$AJ$169, "Y")</f>
        <v>0</v>
      </c>
      <c r="T4">
        <f>COUNTIFS('Data - Taxa'!P$3:P$169, "Y", 'Data - Taxa'!$AU$3:$AU$169, "Y", 'Data - Taxa'!$AJ$3:$AJ$169, "Y")</f>
        <v>1</v>
      </c>
      <c r="U4">
        <f>COUNTIFS('Data - Taxa'!P$3:P$169, "Y", 'Data - Taxa'!$AV$3:$AV$169, "Y", 'Data - Taxa'!$AJ$3:$AJ$169, "Y")</f>
        <v>17</v>
      </c>
      <c r="V4">
        <f>COUNTIFS('Data - Taxa'!P$3:P$169, "Y", 'Data - Taxa'!$AW$3:$AW$169, "Y", 'Data - Taxa'!$AJ$3:$AJ$169, "Y")</f>
        <v>0</v>
      </c>
      <c r="W4">
        <f>COUNTIFS('Data - Taxa'!P$3:P$169, "Y", 'Data - Taxa'!$AX$3:$AX$169, "Y", 'Data - Taxa'!$AJ$3:$AJ$169, "Y")</f>
        <v>2</v>
      </c>
      <c r="X4">
        <f>COUNTIFS('Data - Taxa'!P$3:P$169, "Y", 'Data - Taxa'!$AY$3:$AY$169, "Y", 'Data - Taxa'!$AJ$3:$AJ$169, "Y")</f>
        <v>0</v>
      </c>
      <c r="Y4">
        <f>COUNTIFS('Data - Taxa'!P$3:P$169, "Y", 'Data - Taxa'!$AZ$3:$AZ$169, "Y", 'Data - Taxa'!$AJ$3:$AJ$169, "Y")</f>
        <v>4</v>
      </c>
      <c r="Z4" s="4">
        <f>SUM(R4:Y4)</f>
        <v>24</v>
      </c>
      <c r="AB4" s="1"/>
      <c r="AC4" s="1"/>
      <c r="AD4" s="1"/>
    </row>
    <row r="5" spans="1:30" x14ac:dyDescent="0.35">
      <c r="A5" s="153" t="s">
        <v>481</v>
      </c>
      <c r="B5">
        <f>COUNTIFS('Data - Taxa'!AA$3:AA$169, "Y", 'Data - Taxa'!$B$3:$B$169, "Algal", 'Data - Taxa'!$AJ$3:$AJ$169, "Y")</f>
        <v>0</v>
      </c>
      <c r="C5">
        <f>COUNTIFS('Data - Taxa'!AA$3:AA$169, "Y", 'Data - Taxa'!$B$3:$B$169, "Arboreomorpha", 'Data - Taxa'!$AJ$3:$AJ$169, "Y")</f>
        <v>0</v>
      </c>
      <c r="D5">
        <f>COUNTIFS('Data - Taxa'!AA$3:AA$169, "Y", 'Data - Taxa'!$B$3:$B$169, "Bilateralomorpha", 'Data - Taxa'!$AJ$3:$AJ$169, "Y")</f>
        <v>0</v>
      </c>
      <c r="E5">
        <f>COUNTIFS('Data - Taxa'!AA$3:AA$169, "Y", 'Data - Taxa'!$B$3:$B$169, "Cnidarian", 'Data - Taxa'!$AJ$3:$AJ$169, "Y")</f>
        <v>0</v>
      </c>
      <c r="F5">
        <f>COUNTIFS('Data - Taxa'!AA$3:AA$169, "Y", 'Data - Taxa'!$B$3:$B$169, "Dickinsoniomorpha", 'Data - Taxa'!$AJ$3:$AJ$169, "Y")</f>
        <v>0</v>
      </c>
      <c r="G5">
        <f>COUNTIFS('Data - Taxa'!AA$3:AA$169, "Y", 'Data - Taxa'!$B$3:$B$169, "Complex discoidal", 'Data - Taxa'!$AJ$3:$AJ$169, "Y")</f>
        <v>0</v>
      </c>
      <c r="H5">
        <f>COUNTIFS('Data - Taxa'!AA$3:AA$169, "Y", 'Data - Taxa'!$B$3:$B$169, "Erniettomorpha", 'Data - Taxa'!$AJ$3:$AJ$169, "Y")</f>
        <v>0</v>
      </c>
      <c r="I5">
        <f>COUNTIFS('Data - Taxa'!AA$3:AA$169, "Y", 'Data - Taxa'!$B$3:$B$169, "Kimberellamorpha", 'Data - Taxa'!$AJ$3:$AJ$169, "Y")</f>
        <v>0</v>
      </c>
      <c r="J5">
        <f>COUNTIFS('Data - Taxa'!AA$3:AA$169, "Y", 'Data - Taxa'!$B$3:$B$169, "Pentaradialomorpha", 'Data - Taxa'!$AJ$3:$AJ$169, "Y")</f>
        <v>0</v>
      </c>
      <c r="K5">
        <f>COUNTIFS('Data - Taxa'!AA$3:AA$169, "Y", 'Data - Taxa'!$B$3:$B$169, "Protist", 'Data - Taxa'!$AJ$3:$AJ$169, "Y")</f>
        <v>1</v>
      </c>
      <c r="L5">
        <f>COUNTIFS('Data - Taxa'!AA$3:AA$169, "Y", 'Data - Taxa'!$B$3:$B$169, "Rangeomorpha", 'Data - Taxa'!$AJ$3:$AJ$169, "Y")</f>
        <v>0</v>
      </c>
      <c r="M5">
        <f>COUNTIFS('Data - Taxa'!AA$3:AA$169, "Y", 'Data - Taxa'!$B$3:$B$169, "Sponges", 'Data - Taxa'!$AJ$3:$AJ$169, "Y")</f>
        <v>0</v>
      </c>
      <c r="N5">
        <f>COUNTIFS('Data - Taxa'!AA$3:AA$169, "Y", 'Data - Taxa'!$B$3:$B$169, "Tetraradialomorpha", 'Data - Taxa'!$AJ$3:$AJ$169, "Y")</f>
        <v>0</v>
      </c>
      <c r="O5">
        <f>COUNTIFS('Data - Taxa'!AA$3:AA$169, "Y", 'Data - Taxa'!$B$3:$B$169, "Triradialomorpha", 'Data - Taxa'!$AJ$3:$AJ$169, "Y")</f>
        <v>0</v>
      </c>
      <c r="P5">
        <f>COUNTIFS('Data - Taxa'!AA$3:AA$169, "Y", 'Data - Taxa'!$B$3:$B$169, "Tubular", 'Data - Taxa'!$AJ$3:$AJ$169, "Y")</f>
        <v>0</v>
      </c>
      <c r="Q5">
        <f>COUNTIFS('Data - Taxa'!AA$3:AA$169, "Y", 'Data - Taxa'!$B$3:$B$169, "Miscellaneous", 'Data - Taxa'!$AJ$3:$AJ$169, "Y")</f>
        <v>0</v>
      </c>
      <c r="R5" s="4">
        <f>COUNTIFS('Data - Taxa'!AA$3:AA$169, "Y", 'Data - Taxa'!$AS$3:$AS$169, "Y", 'Data - Taxa'!$AJ$3:$AJ$169, "Y")</f>
        <v>0</v>
      </c>
      <c r="S5">
        <f>COUNTIFS('Data - Taxa'!AA$3:AA$169, "Y", 'Data - Taxa'!$AT$3:$AT$169, "Y", 'Data - Taxa'!$AJ$3:$AJ$169, "Y")</f>
        <v>0</v>
      </c>
      <c r="T5">
        <f>COUNTIFS('Data - Taxa'!AA$3:AA$169, "Y", 'Data - Taxa'!$YR$3:$YR$169, "Y", 'Data - Taxa'!$AJ$3:$AJ$169, "Y")</f>
        <v>0</v>
      </c>
      <c r="U5">
        <f>COUNTIFS('Data - Taxa'!AA$3:AA$169, "Y", 'Data - Taxa'!$AV$3:$AV$169, "Y", 'Data - Taxa'!$AJ$3:$AJ$169, "Y")</f>
        <v>0</v>
      </c>
      <c r="V5">
        <f>COUNTIFS('Data - Taxa'!AA$3:AA$169, "Y", 'Data - Taxa'!$AW$3:$AW$169, "Y", 'Data - Taxa'!$AJ$3:$AJ$169, "Y")</f>
        <v>0</v>
      </c>
      <c r="W5">
        <f>COUNTIFS('Data - Taxa'!AA$3:AA$169, "Y", 'Data - Taxa'!$AX$3:$AX$169, "Y", 'Data - Taxa'!$AJ$3:$AJ$169, "Y")</f>
        <v>1</v>
      </c>
      <c r="X5">
        <f>COUNTIFS('Data - Taxa'!AA$3:AA$169, "Y", 'Data - Taxa'!$AY$3:$AY$169, "Y", 'Data - Taxa'!$AJ$3:$AJ$169, "Y")</f>
        <v>0</v>
      </c>
      <c r="Y5">
        <f>COUNTIFS('Data - Taxa'!AA$3:AA$169, "Y", 'Data - Taxa'!$AZ$3:$AZ$169, "Y", 'Data - Taxa'!$AJ$3:$AJ$169, "Y")</f>
        <v>0</v>
      </c>
      <c r="Z5" s="4">
        <f>SUM(R5:Y5)</f>
        <v>1</v>
      </c>
    </row>
    <row r="6" spans="1:30" x14ac:dyDescent="0.35">
      <c r="A6" s="153" t="s">
        <v>483</v>
      </c>
      <c r="B6">
        <f>COUNTIFS('Data - Taxa'!AC$3:AC$169, "Y", 'Data - Taxa'!$B$3:$B$169, "Algal", 'Data - Taxa'!$AJ$3:$AJ$169, "Y")</f>
        <v>0</v>
      </c>
      <c r="C6">
        <f>COUNTIFS('Data - Taxa'!AC$3:AC$169, "Y", 'Data - Taxa'!$B$3:$B$169, "Arboreomorpha", 'Data - Taxa'!$AJ$3:$AJ$169, "Y")</f>
        <v>2</v>
      </c>
      <c r="D6">
        <f>COUNTIFS('Data - Taxa'!AC$3:AC$169, "Y", 'Data - Taxa'!$B$3:$B$169, "Bilateralomorpha", 'Data - Taxa'!$AJ$3:$AJ$169, "Y")</f>
        <v>0</v>
      </c>
      <c r="E6">
        <f>COUNTIFS('Data - Taxa'!AC$3:AC$169, "Y", 'Data - Taxa'!$B$3:$B$169, "Cnidarian", 'Data - Taxa'!$AJ$3:$AJ$169, "Y")</f>
        <v>0</v>
      </c>
      <c r="F6">
        <f>COUNTIFS('Data - Taxa'!AC$3:AC$169, "Y", 'Data - Taxa'!$B$3:$B$169, "Dickinsoniomorpha", 'Data - Taxa'!$AJ$3:$AJ$169, "Y")</f>
        <v>0</v>
      </c>
      <c r="G6">
        <f>COUNTIFS('Data - Taxa'!AC$3:AC$169, "Y", 'Data - Taxa'!$B$3:$B$169, "Complex discoidal", 'Data - Taxa'!$AJ$3:$AJ$169, "Y")</f>
        <v>0</v>
      </c>
      <c r="H6">
        <f>COUNTIFS('Data - Taxa'!AC$3:AC$169, "Y", 'Data - Taxa'!$B$3:$B$169, "Erniettomorpha", 'Data - Taxa'!$AJ$3:$AJ$169, "Y")</f>
        <v>0</v>
      </c>
      <c r="I6">
        <f>COUNTIFS('Data - Taxa'!AC$3:AC$169, "Y", 'Data - Taxa'!$B$3:$B$169, "Kimberellamorpha", 'Data - Taxa'!$AJ$3:$AJ$169, "Y")</f>
        <v>0</v>
      </c>
      <c r="J6">
        <f>COUNTIFS('Data - Taxa'!AC$3:AC$169, "Y", 'Data - Taxa'!$B$3:$B$169, "Pentaradialomorpha", 'Data - Taxa'!$AJ$3:$AJ$169, "Y")</f>
        <v>0</v>
      </c>
      <c r="K6">
        <f>COUNTIFS('Data - Taxa'!AC$3:AC$169, "Y", 'Data - Taxa'!$B$3:$B$169, "Protist", 'Data - Taxa'!$AJ$3:$AJ$169, "Y")</f>
        <v>1</v>
      </c>
      <c r="L6">
        <f>COUNTIFS('Data - Taxa'!AC$3:AC$169, "Y", 'Data - Taxa'!$B$3:$B$169, "Rangeomorpha", 'Data - Taxa'!$AJ$3:$AJ$169, "Y")</f>
        <v>4</v>
      </c>
      <c r="M6">
        <f>COUNTIFS('Data - Taxa'!AC$3:AC$169, "Y", 'Data - Taxa'!$B$3:$B$169, "Sponges", 'Data - Taxa'!$AJ$3:$AJ$169, "Y")</f>
        <v>0</v>
      </c>
      <c r="N6">
        <f>COUNTIFS('Data - Taxa'!AC$3:AC$169, "Y", 'Data - Taxa'!$B$3:$B$169, "Tetraradialomorpha", 'Data - Taxa'!$AJ$3:$AJ$169, "Y")</f>
        <v>0</v>
      </c>
      <c r="O6">
        <f>COUNTIFS('Data - Taxa'!AC$3:AC$169, "Y", 'Data - Taxa'!$B$3:$B$169, "Triradialomorpha", 'Data - Taxa'!$AJ$3:$AJ$169, "Y")</f>
        <v>0</v>
      </c>
      <c r="P6">
        <f>COUNTIFS('Data - Taxa'!AC$3:AC$169, "Y", 'Data - Taxa'!$B$3:$B$169, "Tubular", 'Data - Taxa'!$AJ$3:$AJ$169, "Y")</f>
        <v>0</v>
      </c>
      <c r="Q6">
        <f>COUNTIFS('Data - Taxa'!AC$3:AC$169, "Y", 'Data - Taxa'!$B$3:$B$169, "Miscellaneous", 'Data - Taxa'!$AJ$3:$AJ$169, "Y")</f>
        <v>1</v>
      </c>
      <c r="R6" s="4">
        <f>COUNTIFS('Data - Taxa'!AC$3:AC$169, "Y", 'Data - Taxa'!$AS$3:$AS$169, "Y", 'Data - Taxa'!$AJ$3:$AJ$169, "Y")</f>
        <v>0</v>
      </c>
      <c r="S6">
        <f>COUNTIFS('Data - Taxa'!AC$3:AC$169, "Y", 'Data - Taxa'!$AT$3:$AT$169, "Y", 'Data - Taxa'!$AJ$3:$AJ$169, "Y")</f>
        <v>0</v>
      </c>
      <c r="T6">
        <f>COUNTIFS('Data - Taxa'!AC$3:AC$169, "Y", 'Data - Taxa'!$AU$3:$AU$169, "Y", 'Data - Taxa'!$AJ$3:$AJ$169, "Y")</f>
        <v>0</v>
      </c>
      <c r="U6">
        <f>COUNTIFS('Data - Taxa'!AC$3:AC$169, "Y", 'Data - Taxa'!$AV$3:$AV$169, "Y", 'Data - Taxa'!$AJ$3:$AJ$169, "Y")</f>
        <v>6</v>
      </c>
      <c r="V6">
        <f>COUNTIFS('Data - Taxa'!AC$3:AC$169, "Y", 'Data - Taxa'!$AW$3:$AW$169, "Y", 'Data - Taxa'!$AJ$3:$AJ$169, "Y")</f>
        <v>0</v>
      </c>
      <c r="W6">
        <f>COUNTIFS('Data - Taxa'!AC$3:AC$169, "Y", 'Data - Taxa'!$AX$3:$AX$169, "Y", 'Data - Taxa'!$AJ$3:$AJ$169, "Y")</f>
        <v>1</v>
      </c>
      <c r="X6">
        <f>COUNTIFS('Data - Taxa'!AC$3:AC$169, "Y", 'Data - Taxa'!$AY$3:$AY$169, "Y", 'Data - Taxa'!$AJ$3:$AJ$169, "Y")</f>
        <v>0</v>
      </c>
      <c r="Y6">
        <f>COUNTIFS('Data - Taxa'!AC$3:AC$169, "Y", 'Data - Taxa'!$AZ$3:$AZ$169, "Y", 'Data - Taxa'!$AJ$3:$AJ$169, "Y")</f>
        <v>1</v>
      </c>
      <c r="Z6" s="4">
        <f>SUM(R6:Y6)</f>
        <v>8</v>
      </c>
    </row>
  </sheetData>
  <mergeCells count="2">
    <mergeCell ref="B1:Q1"/>
    <mergeCell ref="R1:Y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
  <sheetViews>
    <sheetView zoomScale="70" zoomScaleNormal="70" workbookViewId="0"/>
  </sheetViews>
  <sheetFormatPr defaultRowHeight="14.5" x14ac:dyDescent="0.35"/>
  <cols>
    <col min="1" max="1" width="47.1796875" style="20" customWidth="1"/>
    <col min="2" max="17" width="3.453125" customWidth="1"/>
    <col min="18" max="18" width="3.453125" style="4" customWidth="1"/>
    <col min="19" max="25" width="3.453125" customWidth="1"/>
    <col min="26" max="26" width="3.453125" style="4" customWidth="1"/>
  </cols>
  <sheetData>
    <row r="1" spans="1:26" x14ac:dyDescent="0.35">
      <c r="A1" s="124"/>
      <c r="B1" s="200" t="s">
        <v>321</v>
      </c>
      <c r="C1" s="201"/>
      <c r="D1" s="201"/>
      <c r="E1" s="201"/>
      <c r="F1" s="201"/>
      <c r="G1" s="201"/>
      <c r="H1" s="201"/>
      <c r="I1" s="201"/>
      <c r="J1" s="201"/>
      <c r="K1" s="201"/>
      <c r="L1" s="201"/>
      <c r="M1" s="201"/>
      <c r="N1" s="201"/>
      <c r="O1" s="201"/>
      <c r="P1" s="201"/>
      <c r="Q1" s="201"/>
      <c r="R1" s="202" t="s">
        <v>169</v>
      </c>
      <c r="S1" s="203"/>
      <c r="T1" s="203"/>
      <c r="U1" s="203"/>
      <c r="V1" s="203"/>
      <c r="W1" s="203"/>
      <c r="X1" s="203"/>
      <c r="Y1" s="204"/>
      <c r="Z1" s="49"/>
    </row>
    <row r="2" spans="1:26" ht="115" customHeight="1" x14ac:dyDescent="0.35">
      <c r="A2" s="125" t="s">
        <v>171</v>
      </c>
      <c r="B2" s="45" t="s">
        <v>12</v>
      </c>
      <c r="C2" s="45" t="s">
        <v>16</v>
      </c>
      <c r="D2" s="45" t="s">
        <v>18</v>
      </c>
      <c r="E2" s="45" t="s">
        <v>24</v>
      </c>
      <c r="F2" s="45" t="s">
        <v>9</v>
      </c>
      <c r="G2" s="45" t="s">
        <v>384</v>
      </c>
      <c r="H2" s="45" t="s">
        <v>62</v>
      </c>
      <c r="I2" s="45" t="s">
        <v>83</v>
      </c>
      <c r="J2" s="45" t="s">
        <v>22</v>
      </c>
      <c r="K2" s="45" t="s">
        <v>54</v>
      </c>
      <c r="L2" s="45" t="s">
        <v>30</v>
      </c>
      <c r="M2" s="45" t="s">
        <v>28</v>
      </c>
      <c r="N2" s="45" t="s">
        <v>49</v>
      </c>
      <c r="O2" s="45" t="s">
        <v>6</v>
      </c>
      <c r="P2" s="45" t="s">
        <v>14</v>
      </c>
      <c r="Q2" s="45" t="s">
        <v>46</v>
      </c>
      <c r="R2" s="44" t="s">
        <v>12</v>
      </c>
      <c r="S2" s="42" t="s">
        <v>173</v>
      </c>
      <c r="T2" s="43" t="s">
        <v>217</v>
      </c>
      <c r="U2" s="43" t="s">
        <v>232</v>
      </c>
      <c r="V2" s="43" t="s">
        <v>218</v>
      </c>
      <c r="W2" s="43" t="s">
        <v>54</v>
      </c>
      <c r="X2" s="43" t="s">
        <v>14</v>
      </c>
      <c r="Y2" s="43" t="s">
        <v>227</v>
      </c>
      <c r="Z2" s="50" t="s">
        <v>302</v>
      </c>
    </row>
    <row r="3" spans="1:26" x14ac:dyDescent="0.35">
      <c r="A3" s="157" t="s">
        <v>460</v>
      </c>
      <c r="B3">
        <f>COUNTIFS('Data - Taxa'!C$3:C$169, "Y", 'Data - Taxa'!$B$3:$B$169, "Algal", 'Data - Taxa'!$AK$3:$AK$169, "Y")</f>
        <v>4</v>
      </c>
      <c r="C3">
        <f>COUNTIFS('Data - Taxa'!C$3:C$169, "Y", 'Data - Taxa'!$B$3:$B$169, "Arboreomorpha", 'Data - Taxa'!$AK$3:$AK$169, "Y")+1</f>
        <v>4</v>
      </c>
      <c r="D3">
        <f>COUNTIFS('Data - Taxa'!C$3:C$169, "Y", 'Data - Taxa'!$B$3:$B$169, "Bilateralomorpha", 'Data - Taxa'!$AK$3:$AK$169, "Y")</f>
        <v>11</v>
      </c>
      <c r="E3">
        <f>COUNTIFS('Data - Taxa'!C$3:C$169, "Y", 'Data - Taxa'!$B$3:$B$169, "Cnidarian", 'Data - Taxa'!$AK$3:$AK$169, "Y")</f>
        <v>3</v>
      </c>
      <c r="F3">
        <f>COUNTIFS('Data - Taxa'!C$3:C$169, "Y", 'Data - Taxa'!$B$3:$B$169, "Dickinsoniomorpha", 'Data - Taxa'!$AK$3:$AK$169, "Y")</f>
        <v>5</v>
      </c>
      <c r="G3">
        <f>COUNTIFS('Data - Taxa'!C$3:C$169, "Y", 'Data - Taxa'!$B$3:$B$169, "Complex discoidal", 'Data - Taxa'!$AK$3:$AK$169, "Y")</f>
        <v>1</v>
      </c>
      <c r="H3">
        <f>COUNTIFS('Data - Taxa'!C$3:C$169, "Y", 'Data - Taxa'!$B$3:$B$169, "Erniettomorpha", 'Data - Taxa'!$AK$3:$AK$169, "Y")</f>
        <v>2</v>
      </c>
      <c r="I3">
        <f>COUNTIFS('Data - Taxa'!C$3:C$169, "Y", 'Data - Taxa'!$B$3:$B$169, "Kimberellamorpha", 'Data - Taxa'!$AK$3:$AK$169, "Y")</f>
        <v>2</v>
      </c>
      <c r="J3">
        <f>COUNTIFS('Data - Taxa'!C$3:C$169, "Y", 'Data - Taxa'!$B$3:$B$169, "Pentaradialomorpha", 'Data - Taxa'!$AK$3:$AK$169, "Y")</f>
        <v>0</v>
      </c>
      <c r="K3">
        <f>COUNTIFS('Data - Taxa'!C$3:C$169, "Y", 'Data - Taxa'!$B$3:$B$169, "Protist", 'Data - Taxa'!$AK$3:$AK$169, "Y")</f>
        <v>3</v>
      </c>
      <c r="L3">
        <f>COUNTIFS('Data - Taxa'!C$3:C$169, "Y", 'Data - Taxa'!$B$3:$B$169, "Rangeomorpha", 'Data - Taxa'!$AK$3:$AK$169, "Y")</f>
        <v>3</v>
      </c>
      <c r="M3">
        <f>COUNTIFS('Data - Taxa'!C$3:C$169, "Y", 'Data - Taxa'!$B$3:$B$169, "Sponges", 'Data - Taxa'!$AK$3:$AK$169, "Y")</f>
        <v>2</v>
      </c>
      <c r="N3">
        <f>COUNTIFS('Data - Taxa'!C$3:C$169, "Y", 'Data - Taxa'!$B$3:$B$169, "Tetraradialomorpha", 'Data - Taxa'!$AK$3:$AK$169, "Y")</f>
        <v>1</v>
      </c>
      <c r="O3">
        <f>COUNTIFS('Data - Taxa'!C$3:C$169, "Y", 'Data - Taxa'!$B$3:$B$169, "Triradialomorpha", 'Data - Taxa'!$AK$3:$AK$169, "Y")</f>
        <v>4</v>
      </c>
      <c r="P3">
        <f>COUNTIFS('Data - Taxa'!C$3:C$169, "Y", 'Data - Taxa'!$B$3:$B$169, "Tubular", 'Data - Taxa'!$AK$3:$AK$169, "Y")</f>
        <v>3</v>
      </c>
      <c r="Q3">
        <f>COUNTIFS('Data - Taxa'!C$3:C$169, "Y", 'Data - Taxa'!$B$3:$B$169, "Miscellaneous", 'Data - Taxa'!$AK$3:$AK$169, "Y")+1</f>
        <v>14</v>
      </c>
      <c r="R3" s="4">
        <f>COUNTIFS('Data - Taxa'!C$3:C$169, "Y", 'Data - Taxa'!$AS$3:$AS$169, "Y", 'Data - Taxa'!$AK$3:$AK$169, "Y")</f>
        <v>4</v>
      </c>
      <c r="S3">
        <f>COUNTIFS('Data - Taxa'!C$3:C$169, "Y", 'Data - Taxa'!$AT$3:$AT$169, "Y", 'Data - Taxa'!$AK$3:$AK$169, "Y")</f>
        <v>18</v>
      </c>
      <c r="T3">
        <f>COUNTIFS('Data - Taxa'!C$3:C$169, "Y", 'Data - Taxa'!$AU$3:$AU$169, "Y", 'Data - Taxa'!$AK$3:$AK$169, "Y")</f>
        <v>6</v>
      </c>
      <c r="U3">
        <f>COUNTIFS('Data - Taxa'!C$3:C$169, "Y", 'Data - Taxa'!$AV$3:$AV$169, "Y", 'Data - Taxa'!$AK$3:$AK$169, "Y")</f>
        <v>7</v>
      </c>
      <c r="V3">
        <f>COUNTIFS('Data - Taxa'!C$3:C$169, "Y", 'Data - Taxa'!$AW$3:$AW$169, "Y", 'Data - Taxa'!$AK$3:$AK$169, "Y")</f>
        <v>2</v>
      </c>
      <c r="W3">
        <f>COUNTIFS('Data - Taxa'!C$3:C$169, "Y", 'Data - Taxa'!$AX$3:$AX$169, "Y", 'Data - Taxa'!$AK$3:$AK$169, "Y")</f>
        <v>3</v>
      </c>
      <c r="X3">
        <f>COUNTIFS('Data - Taxa'!C$3:C$169, "Y", 'Data - Taxa'!$AY$3:$AY$169, "Y", 'Data - Taxa'!$AK$3:$AK$169, "Y")</f>
        <v>3</v>
      </c>
      <c r="Y3">
        <f>COUNTIFS('Data - Taxa'!C$3:C$169, "Y", 'Data - Taxa'!$AZ$3:$AZ$169, "Y", 'Data - Taxa'!$AK$3:$AK$169, "Y")</f>
        <v>19</v>
      </c>
      <c r="Z3" s="4">
        <f t="shared" ref="Z3:Z15" si="0">SUM(R3:Y3)</f>
        <v>62</v>
      </c>
    </row>
    <row r="4" spans="1:26" x14ac:dyDescent="0.35">
      <c r="A4" s="153" t="s">
        <v>461</v>
      </c>
      <c r="B4">
        <f>COUNTIFS('Data - Taxa'!D$3:D$169, "Y", 'Data - Taxa'!$B$3:$B$169, "Algal", 'Data - Taxa'!$AK$3:$AK$169, "Y")</f>
        <v>0</v>
      </c>
      <c r="C4">
        <f>COUNTIFS('Data - Taxa'!D$3:D$169, "Y", 'Data - Taxa'!$B$3:$B$169, "Arboreomorpha", 'Data - Taxa'!$AK$3:$AK$169, "Y")</f>
        <v>0</v>
      </c>
      <c r="D4">
        <f>COUNTIFS('Data - Taxa'!D$3:D$169, "Y", 'Data - Taxa'!$B$3:$B$169, "Bilateralomorpha", 'Data - Taxa'!$AK$3:$AK$169, "Y")</f>
        <v>0</v>
      </c>
      <c r="E4">
        <f>COUNTIFS('Data - Taxa'!D$3:D$169, "Y", 'Data - Taxa'!$B$3:$B$169, "Cnidarian", 'Data - Taxa'!$AK$3:$AK$169, "Y")</f>
        <v>0</v>
      </c>
      <c r="F4">
        <f>COUNTIFS('Data - Taxa'!D$3:D$169, "Y", 'Data - Taxa'!$B$3:$B$169, "Dickinsoniomorpha", 'Data - Taxa'!$AK$3:$AK$169, "Y")</f>
        <v>0</v>
      </c>
      <c r="G4">
        <f>COUNTIFS('Data - Taxa'!D$3:D$169, "Y", 'Data - Taxa'!$B$3:$B$169, "Complex discoidal", 'Data - Taxa'!$AK$3:$AK$169, "Y")</f>
        <v>1</v>
      </c>
      <c r="H4">
        <f>COUNTIFS('Data - Taxa'!D$3:D$169, "Y", 'Data - Taxa'!$B$3:$B$169, "Erniettomorpha", 'Data - Taxa'!$AK$3:$AK$169, "Y")</f>
        <v>0</v>
      </c>
      <c r="I4">
        <f>COUNTIFS('Data - Taxa'!D$3:D$169, "Y", 'Data - Taxa'!$B$3:$B$169, "Kimberellamorpha", 'Data - Taxa'!$AK$3:$AK$169, "Y")</f>
        <v>0</v>
      </c>
      <c r="J4">
        <f>COUNTIFS('Data - Taxa'!D$3:D$169, "Y", 'Data - Taxa'!$B$3:$B$169, "Pentaradialomorpha", 'Data - Taxa'!$AK$3:$AK$169, "Y")</f>
        <v>0</v>
      </c>
      <c r="K4">
        <f>COUNTIFS('Data - Taxa'!D$3:D$169, "Y", 'Data - Taxa'!$B$3:$B$169, "Protist", 'Data - Taxa'!$AK$3:$AK$169, "Y")</f>
        <v>2</v>
      </c>
      <c r="L4">
        <f>COUNTIFS('Data - Taxa'!D$3:D$169, "Y", 'Data - Taxa'!$B$3:$B$169, "Rangeomorpha", 'Data - Taxa'!$AK$3:$AK$169, "Y")</f>
        <v>0</v>
      </c>
      <c r="M4">
        <f>COUNTIFS('Data - Taxa'!D$3:D$169, "Y", 'Data - Taxa'!$B$3:$B$169, "Sponges", 'Data - Taxa'!$AK$3:$AK$169, "Y")</f>
        <v>0</v>
      </c>
      <c r="N4">
        <f>COUNTIFS('Data - Taxa'!D$3:D$169, "Y", 'Data - Taxa'!$B$3:$B$169, "Tetraradialomorpha", 'Data - Taxa'!$AK$3:$AK$169, "Y")</f>
        <v>0</v>
      </c>
      <c r="O4">
        <f>COUNTIFS('Data - Taxa'!D$3:D$169, "Y", 'Data - Taxa'!$B$3:$B$169, "Triradialomorpha", 'Data - Taxa'!$AK$3:$AK$169, "Y")</f>
        <v>0</v>
      </c>
      <c r="P4">
        <f>COUNTIFS('Data - Taxa'!D$3:D$169, "Y", 'Data - Taxa'!$B$3:$B$169, "Tubular", 'Data - Taxa'!$AK$3:$AK$169, "Y")</f>
        <v>0</v>
      </c>
      <c r="Q4">
        <f>COUNTIFS('Data - Taxa'!D$3:D$169, "Y", 'Data - Taxa'!$B$3:$B$169, "Miscellaneous", 'Data - Taxa'!$AK$3:$AK$169, "Y")+1</f>
        <v>1</v>
      </c>
      <c r="R4" s="4">
        <f>COUNTIFS('Data - Taxa'!D$3:D$169, "Y", 'Data - Taxa'!$AS$3:$AS$169, "Y", 'Data - Taxa'!$AK$3:$AK$169, "Y")</f>
        <v>0</v>
      </c>
      <c r="S4">
        <f>COUNTIFS('Data - Taxa'!D$3:D$169, "Y", 'Data - Taxa'!$AT$3:$AT$169, "Y", 'Data - Taxa'!$AK$3:$AK$169, "Y")</f>
        <v>0</v>
      </c>
      <c r="T4">
        <f>COUNTIFS('Data - Taxa'!D$3:D$169, "Y", 'Data - Taxa'!$AU$3:$AU$169, "Y", 'Data - Taxa'!$AK$3:$AK$169, "Y")</f>
        <v>1</v>
      </c>
      <c r="U4">
        <f>COUNTIFS('Data - Taxa'!D$3:D$169, "Y", 'Data - Taxa'!$AV$3:$AV$169, "Y", 'Data - Taxa'!$AK$3:$AK$169, "Y")</f>
        <v>0</v>
      </c>
      <c r="V4">
        <f>COUNTIFS('Data - Taxa'!D$3:D$169, "Y", 'Data - Taxa'!$AW$3:$AW$169, "Y", 'Data - Taxa'!$AK$3:$AK$169, "Y")</f>
        <v>0</v>
      </c>
      <c r="W4">
        <f>COUNTIFS('Data - Taxa'!D$3:D$169, "Y", 'Data - Taxa'!$AX$3:$AX$169, "Y", 'Data - Taxa'!$AK$3:$AK$169, "Y")</f>
        <v>2</v>
      </c>
      <c r="X4">
        <f>COUNTIFS('Data - Taxa'!D$3:D$169, "Y", 'Data - Taxa'!$AY$3:$AY$169, "Y", 'Data - Taxa'!$AK$3:$AK$169, "Y")</f>
        <v>0</v>
      </c>
      <c r="Y4">
        <f>COUNTIFS('Data - Taxa'!D$3:D$169, "Y", 'Data - Taxa'!$AZ$3:$AZ$169, "Y", 'Data - Taxa'!$AK$3:$AK$169, "Y")</f>
        <v>1</v>
      </c>
      <c r="Z4" s="4">
        <f>SUM(R4:Y4)</f>
        <v>4</v>
      </c>
    </row>
    <row r="5" spans="1:26" x14ac:dyDescent="0.35">
      <c r="A5" s="153" t="s">
        <v>462</v>
      </c>
      <c r="B5">
        <f>COUNTIFS('Data - Taxa'!E$3:E$169, "Y", 'Data - Taxa'!$B$3:$B$169, "Algal", 'Data - Taxa'!$AK$3:$AK$169, "Y")</f>
        <v>2</v>
      </c>
      <c r="C5">
        <f>COUNTIFS('Data - Taxa'!E$3:E$169, "Y", 'Data - Taxa'!$B$3:$B$169, "Arboreomorpha", 'Data - Taxa'!$AK$3:$AK$169, "Y")</f>
        <v>0</v>
      </c>
      <c r="D5">
        <f>COUNTIFS('Data - Taxa'!E$3:E$169, "Y", 'Data - Taxa'!$B$3:$B$169, "Bilateralomorpha", 'Data - Taxa'!$AK$3:$AK$169, "Y")</f>
        <v>0</v>
      </c>
      <c r="E5">
        <f>COUNTIFS('Data - Taxa'!E$3:E$169, "Y", 'Data - Taxa'!$B$3:$B$169, "Cnidarian", 'Data - Taxa'!$AK$3:$AK$169, "Y")</f>
        <v>0</v>
      </c>
      <c r="F5">
        <f>COUNTIFS('Data - Taxa'!E$3:E$169, "Y", 'Data - Taxa'!$B$3:$B$169, "Dickinsoniomorpha", 'Data - Taxa'!$AK$3:$AK$169, "Y")</f>
        <v>1</v>
      </c>
      <c r="G5">
        <f>COUNTIFS('Data - Taxa'!E$3:E$169, "Y", 'Data - Taxa'!$B$3:$B$169, "Complex discoidal", 'Data - Taxa'!$AK$3:$AK$169, "Y")</f>
        <v>0</v>
      </c>
      <c r="H5">
        <f>COUNTIFS('Data - Taxa'!E$3:E$169, "Y", 'Data - Taxa'!$B$3:$B$169, "Erniettomorpha", 'Data - Taxa'!$AK$3:$AK$169, "Y")</f>
        <v>0</v>
      </c>
      <c r="I5">
        <f>COUNTIFS('Data - Taxa'!E$3:E$169, "Y", 'Data - Taxa'!$B$3:$B$169, "Kimberellamorpha", 'Data - Taxa'!$AK$3:$AK$169, "Y")</f>
        <v>0</v>
      </c>
      <c r="J5">
        <f>COUNTIFS('Data - Taxa'!E$3:E$169, "Y", 'Data - Taxa'!$B$3:$B$169, "Pentaradialomorpha", 'Data - Taxa'!$AK$3:$AK$169, "Y")</f>
        <v>0</v>
      </c>
      <c r="K5">
        <f>COUNTIFS('Data - Taxa'!E$3:E$169, "Y", 'Data - Taxa'!$B$3:$B$169, "Protist", 'Data - Taxa'!$AK$3:$AK$169, "Y")</f>
        <v>1</v>
      </c>
      <c r="L5">
        <f>COUNTIFS('Data - Taxa'!E$3:E$169, "Y", 'Data - Taxa'!$B$3:$B$169, "Rangeomorpha", 'Data - Taxa'!$AK$3:$AK$169, "Y")</f>
        <v>0</v>
      </c>
      <c r="M5">
        <f>COUNTIFS('Data - Taxa'!E$3:E$169, "Y", 'Data - Taxa'!$B$3:$B$169, "Sponges", 'Data - Taxa'!$AK$3:$AK$169, "Y")</f>
        <v>0</v>
      </c>
      <c r="N5">
        <f>COUNTIFS('Data - Taxa'!E$3:E$169, "Y", 'Data - Taxa'!$B$3:$B$169, "Tetraradialomorpha", 'Data - Taxa'!$AK$3:$AK$169, "Y")</f>
        <v>0</v>
      </c>
      <c r="O5">
        <f>COUNTIFS('Data - Taxa'!E$3:E$169, "Y", 'Data - Taxa'!$B$3:$B$169, "Triradialomorpha", 'Data - Taxa'!$AK$3:$AK$169, "Y")</f>
        <v>0</v>
      </c>
      <c r="P5">
        <f>COUNTIFS('Data - Taxa'!E$3:E$169, "Y", 'Data - Taxa'!$B$3:$B$169, "Tubular", 'Data - Taxa'!$AK$3:$AK$169, "Y")</f>
        <v>0</v>
      </c>
      <c r="Q5">
        <f>COUNTIFS('Data - Taxa'!E$3:E$169, "Y", 'Data - Taxa'!$B$3:$B$169, "Miscellaneous", 'Data - Taxa'!$AK$3:$AK$169, "Y")</f>
        <v>0</v>
      </c>
      <c r="R5" s="4">
        <f>COUNTIFS('Data - Taxa'!E$3:E$169, "Y", 'Data - Taxa'!$AS$3:$AS$169, "Y", 'Data - Taxa'!$AK$3:$AK$169, "Y")</f>
        <v>2</v>
      </c>
      <c r="S5">
        <f>COUNTIFS('Data - Taxa'!E$3:E$169, "Y", 'Data - Taxa'!$AT$3:$AT$169, "Y", 'Data - Taxa'!$AK$3:$AK$169, "Y")</f>
        <v>1</v>
      </c>
      <c r="T5">
        <f>COUNTIFS('Data - Taxa'!E$3:E$169, "Y", 'Data - Taxa'!$AU$3:$AU$169, "Y", 'Data - Taxa'!$AK$3:$AK$169, "Y")</f>
        <v>0</v>
      </c>
      <c r="U5">
        <f>COUNTIFS('Data - Taxa'!E$3:E$169, "Y", 'Data - Taxa'!$AV$3:$AV$169, "Y", 'Data - Taxa'!$AK$3:$AK$169, "Y")</f>
        <v>0</v>
      </c>
      <c r="V5">
        <f>COUNTIFS('Data - Taxa'!E$3:E$169, "Y", 'Data - Taxa'!$AW$3:$AW$169, "Y", 'Data - Taxa'!$AK$3:$AK$169, "Y")</f>
        <v>0</v>
      </c>
      <c r="W5">
        <f>COUNTIFS('Data - Taxa'!E$3:E$169, "Y", 'Data - Taxa'!$AX$3:$AX$169, "Y", 'Data - Taxa'!$AK$3:$AK$169, "Y")</f>
        <v>1</v>
      </c>
      <c r="X5">
        <f>COUNTIFS('Data - Taxa'!E$3:E$169, "Y", 'Data - Taxa'!$AY$3:$AY$169, "Y", 'Data - Taxa'!$AK$3:$AK$169, "Y")</f>
        <v>0</v>
      </c>
      <c r="Y5">
        <f>COUNTIFS('Data - Taxa'!E$3:E$169, "Y", 'Data - Taxa'!$AZ$3:$AZ$169, "Y", 'Data - Taxa'!$AK$3:$AK$169, "Y")</f>
        <v>0</v>
      </c>
      <c r="Z5" s="4">
        <f t="shared" si="0"/>
        <v>4</v>
      </c>
    </row>
    <row r="6" spans="1:26" x14ac:dyDescent="0.35">
      <c r="A6" s="153" t="s">
        <v>465</v>
      </c>
      <c r="B6">
        <f>COUNTIFS('Data - Taxa'!H$3:H$169, "Y", 'Data - Taxa'!$B$3:$B$169, "Algal", 'Data - Taxa'!$AK$3:$AK$169, "Y")</f>
        <v>4</v>
      </c>
      <c r="C6">
        <f>COUNTIFS('Data - Taxa'!H$3:H$169, "Y", 'Data - Taxa'!$B$3:$B$169, "Arboreomorpha", 'Data - Taxa'!$AK$3:$AK$169, "Y")</f>
        <v>4</v>
      </c>
      <c r="D6">
        <f>COUNTIFS('Data - Taxa'!H$3:H$169, "Y", 'Data - Taxa'!$B$3:$B$169, "Bilateralomorpha", 'Data - Taxa'!$AK$3:$AK$169, "Y")</f>
        <v>6</v>
      </c>
      <c r="E6">
        <f>COUNTIFS('Data - Taxa'!H$3:H$169, "Y", 'Data - Taxa'!$B$3:$B$169, "Cnidarian", 'Data - Taxa'!$AK$3:$AK$169, "Y")</f>
        <v>0</v>
      </c>
      <c r="F6">
        <f>COUNTIFS('Data - Taxa'!H$3:H$169, "Y", 'Data - Taxa'!$B$3:$B$169, "Dickinsoniomorpha", 'Data - Taxa'!$AK$3:$AK$169, "Y")</f>
        <v>3</v>
      </c>
      <c r="G6">
        <f>COUNTIFS('Data - Taxa'!H$3:H$169, "Y", 'Data - Taxa'!$B$3:$B$169, "Complex discoidal", 'Data - Taxa'!$AK$3:$AK$169, "Y")</f>
        <v>1</v>
      </c>
      <c r="H6">
        <f>COUNTIFS('Data - Taxa'!H$3:H$169, "Y", 'Data - Taxa'!$B$3:$B$169, "Erniettomorpha", 'Data - Taxa'!$AK$3:$AK$169, "Y")</f>
        <v>2</v>
      </c>
      <c r="I6">
        <f>COUNTIFS('Data - Taxa'!H$3:H$169, "Y", 'Data - Taxa'!$B$3:$B$169, "Kimberellamorpha", 'Data - Taxa'!$AK$3:$AK$169, "Y")</f>
        <v>1</v>
      </c>
      <c r="J6">
        <f>COUNTIFS('Data - Taxa'!H$3:H$169, "Y", 'Data - Taxa'!$B$3:$B$169, "Pentaradialomorpha", 'Data - Taxa'!$AK$3:$AK$169, "Y")</f>
        <v>1</v>
      </c>
      <c r="K6">
        <f>COUNTIFS('Data - Taxa'!H$3:H$169, "Y", 'Data - Taxa'!$B$3:$B$169, "Protist", 'Data - Taxa'!$AK$3:$AK$169, "Y")</f>
        <v>0</v>
      </c>
      <c r="L6">
        <f>COUNTIFS('Data - Taxa'!H$3:H$169, "Y", 'Data - Taxa'!$B$3:$B$169, "Rangeomorpha", 'Data - Taxa'!$AK$3:$AK$169, "Y")</f>
        <v>4</v>
      </c>
      <c r="M6">
        <f>COUNTIFS('Data - Taxa'!H$3:H$169, "Y", 'Data - Taxa'!$B$3:$B$169, "Sponges", 'Data - Taxa'!$AK$3:$AK$169, "Y")</f>
        <v>3</v>
      </c>
      <c r="N6">
        <f>COUNTIFS('Data - Taxa'!H$3:H$169, "Y", 'Data - Taxa'!$B$3:$B$169, "Tetraradialomorpha", 'Data - Taxa'!$AK$3:$AK$169, "Y")</f>
        <v>1</v>
      </c>
      <c r="O6">
        <f>COUNTIFS('Data - Taxa'!H$3:H$169, "Y", 'Data - Taxa'!$B$3:$B$169, "Triradialomorpha", 'Data - Taxa'!$AK$3:$AK$169, "Y")</f>
        <v>2</v>
      </c>
      <c r="P6">
        <f>COUNTIFS('Data - Taxa'!H$3:H$169, "Y", 'Data - Taxa'!$B$3:$B$169, "Tubular", 'Data - Taxa'!$AK$3:$AK$169, "Y")</f>
        <v>4</v>
      </c>
      <c r="Q6">
        <f>COUNTIFS('Data - Taxa'!H$3:H$169, "Y", 'Data - Taxa'!$B$3:$B$169, "Miscellaneous", 'Data - Taxa'!$AK$3:$AK$169, "Y")</f>
        <v>9</v>
      </c>
      <c r="R6" s="4">
        <f>COUNTIFS('Data - Taxa'!H$3:H$169, "Y", 'Data - Taxa'!$AS$3:$AS$169, "Y", 'Data - Taxa'!$AK$3:$AK$169, "Y")</f>
        <v>4</v>
      </c>
      <c r="S6">
        <f>COUNTIFS('Data - Taxa'!H$3:H$169, "Y", 'Data - Taxa'!$AT$3:$AT$169, "Y", 'Data - Taxa'!$AK$3:$AK$169, "Y")</f>
        <v>10</v>
      </c>
      <c r="T6">
        <f>COUNTIFS('Data - Taxa'!H$3:H$169, "Y", 'Data - Taxa'!$AU$3:$AU$169, "Y", 'Data - Taxa'!$AK$3:$AK$169, "Y")</f>
        <v>6</v>
      </c>
      <c r="U6">
        <f>COUNTIFS('Data - Taxa'!H$3:H$169, "Y", 'Data - Taxa'!$AV$3:$AV$169, "Y", 'Data - Taxa'!$AK$3:$AK$169, "Y")</f>
        <v>8</v>
      </c>
      <c r="V6">
        <f>COUNTIFS('Data - Taxa'!H$3:H$169, "Y", 'Data - Taxa'!$AW$3:$AW$169, "Y", 'Data - Taxa'!$AK$3:$AK$169, "Y")</f>
        <v>2</v>
      </c>
      <c r="W6">
        <f>COUNTIFS('Data - Taxa'!H$3:H$169, "Y", 'Data - Taxa'!$AX$3:$AX$169, "Y", 'Data - Taxa'!$AK$3:$AK$169, "Y")</f>
        <v>0</v>
      </c>
      <c r="X6">
        <f>COUNTIFS('Data - Taxa'!H$3:H$169, "Y", 'Data - Taxa'!$AY$3:$AY$169, "Y", 'Data - Taxa'!$AK$3:$AK$169, "Y")</f>
        <v>4</v>
      </c>
      <c r="Y6">
        <f>COUNTIFS('Data - Taxa'!H$3:H$169, "Y", 'Data - Taxa'!$AZ$3:$AZ$169, "Y", 'Data - Taxa'!$AK$3:$AK$169, "Y")</f>
        <v>11</v>
      </c>
      <c r="Z6" s="4">
        <f t="shared" si="0"/>
        <v>45</v>
      </c>
    </row>
    <row r="7" spans="1:26" x14ac:dyDescent="0.35">
      <c r="A7" s="153" t="s">
        <v>544</v>
      </c>
      <c r="B7">
        <f>COUNTIFS('Data - Taxa'!K$3:K$169, "Y", 'Data - Taxa'!$B$3:$B$169, "Algal", 'Data - Taxa'!$AK$3:$AK$169, "Y")</f>
        <v>0</v>
      </c>
      <c r="C7">
        <f>COUNTIFS('Data - Taxa'!K$3:K$169, "Y", 'Data - Taxa'!$B$3:$B$169, "Arboreomorpha", 'Data - Taxa'!$AK$3:$AK$169, "Y")</f>
        <v>0</v>
      </c>
      <c r="D7">
        <f>COUNTIFS('Data - Taxa'!K$3:K$169, "Y", 'Data - Taxa'!$B$3:$B$169, "Bilateralomorpha", 'Data - Taxa'!$AK$3:$AK$169, "Y")</f>
        <v>0</v>
      </c>
      <c r="E7">
        <f>COUNTIFS('Data - Taxa'!K$3:K$169, "Y", 'Data - Taxa'!$B$3:$B$169, "Cnidarian", 'Data - Taxa'!$AK$3:$AK$169, "Y")</f>
        <v>0</v>
      </c>
      <c r="F7">
        <f>COUNTIFS('Data - Taxa'!K$3:K$169, "Y", 'Data - Taxa'!$B$3:$B$169, "Dickinsoniomorpha", 'Data - Taxa'!$AK$3:$AK$169, "Y")</f>
        <v>0</v>
      </c>
      <c r="G7">
        <f>COUNTIFS('Data - Taxa'!K$3:K$169, "Y", 'Data - Taxa'!$B$3:$B$169, "Complex discoidal", 'Data - Taxa'!$AK$3:$AK$169, "Y")</f>
        <v>1</v>
      </c>
      <c r="H7">
        <f>COUNTIFS('Data - Taxa'!K$3:K$169, "Y", 'Data - Taxa'!$B$3:$B$169, "Erniettomorpha", 'Data - Taxa'!$AK$3:$AK$169, "Y")</f>
        <v>0</v>
      </c>
      <c r="I7">
        <f>COUNTIFS('Data - Taxa'!K$3:K$169, "Y", 'Data - Taxa'!$B$3:$B$169, "Kimberellamorpha", 'Data - Taxa'!$AK$3:$AK$169, "Y")</f>
        <v>0</v>
      </c>
      <c r="J7">
        <f>COUNTIFS('Data - Taxa'!K$3:K$169, "Y", 'Data - Taxa'!$B$3:$B$169, "Pentaradialomorpha", 'Data - Taxa'!$AK$3:$AK$169, "Y")</f>
        <v>0</v>
      </c>
      <c r="K7">
        <f>COUNTIFS('Data - Taxa'!K$3:K$169, "Y", 'Data - Taxa'!$B$3:$B$169, "Protist", 'Data - Taxa'!$AK$3:$AK$169, "Y")</f>
        <v>0</v>
      </c>
      <c r="L7">
        <f>COUNTIFS('Data - Taxa'!K$3:K$169, "Y", 'Data - Taxa'!$B$3:$B$169, "Rangeomorpha", 'Data - Taxa'!$AK$3:$AK$169, "Y")</f>
        <v>0</v>
      </c>
      <c r="M7">
        <f>COUNTIFS('Data - Taxa'!K$3:K$169, "Y", 'Data - Taxa'!$B$3:$B$169, "Sponges", 'Data - Taxa'!$AK$3:$AK$169, "Y")</f>
        <v>0</v>
      </c>
      <c r="N7">
        <f>COUNTIFS('Data - Taxa'!K$3:K$169, "Y", 'Data - Taxa'!$B$3:$B$169, "Tetraradialomorpha", 'Data - Taxa'!$AK$3:$AK$169, "Y")</f>
        <v>0</v>
      </c>
      <c r="O7">
        <f>COUNTIFS('Data - Taxa'!K$3:K$169, "Y", 'Data - Taxa'!$B$3:$B$169, "Triradialomorpha", 'Data - Taxa'!$AK$3:$AK$169, "Y")</f>
        <v>1</v>
      </c>
      <c r="P7">
        <f>COUNTIFS('Data - Taxa'!K$3:K$169, "Y", 'Data - Taxa'!$B$3:$B$169, "Tubular", 'Data - Taxa'!$AK$3:$AK$169, "Y")</f>
        <v>0</v>
      </c>
      <c r="Q7">
        <f>COUNTIFS('Data - Taxa'!K$3:K$169, "Y", 'Data - Taxa'!$B$3:$B$169, "Miscellaneous", 'Data - Taxa'!$AK$3:$AK$169, "Y")</f>
        <v>0</v>
      </c>
      <c r="R7" s="4">
        <f>COUNTIFS('Data - Taxa'!K$3:K$169, "Y", 'Data - Taxa'!$AS$3:$AS$169, "Y", 'Data - Taxa'!$AK$3:$AK$169, "Y")</f>
        <v>0</v>
      </c>
      <c r="S7">
        <f>COUNTIFS('Data - Taxa'!K$3:K$169, "Y", 'Data - Taxa'!$AT$3:$AT$169, "Y", 'Data - Taxa'!$AK$3:$AK$169, "Y")</f>
        <v>0</v>
      </c>
      <c r="T7">
        <f>COUNTIFS('Data - Taxa'!K$3:K$169, "Y", 'Data - Taxa'!$AU$3:$AU$169, "Y", 'Data - Taxa'!$AK$3:$AK$169, "Y")</f>
        <v>2</v>
      </c>
      <c r="U7">
        <f>COUNTIFS('Data - Taxa'!K$3:K$169, "Y", 'Data - Taxa'!$AV$3:$AV$169, "Y", 'Data - Taxa'!$AK$3:$AK$169, "Y")</f>
        <v>0</v>
      </c>
      <c r="V7">
        <f>COUNTIFS('Data - Taxa'!K$3:K$169, "Y", 'Data - Taxa'!$AW$3:$AW$169, "Y", 'Data - Taxa'!$AK$3:$AK$169, "Y")</f>
        <v>0</v>
      </c>
      <c r="W7">
        <f>COUNTIFS('Data - Taxa'!K$3:K$169, "Y", 'Data - Taxa'!$AX$3:$AX$169, "Y", 'Data - Taxa'!$AK$3:$AK$169, "Y")</f>
        <v>0</v>
      </c>
      <c r="X7">
        <f>COUNTIFS('Data - Taxa'!K$3:K$169, "Y", 'Data - Taxa'!$AY$3:$AY$169, "Y", 'Data - Taxa'!$AK$3:$AK$169, "Y")</f>
        <v>0</v>
      </c>
      <c r="Y7">
        <f>COUNTIFS('Data - Taxa'!K$3:K$169, "Y", 'Data - Taxa'!$AZ$3:$AZ$169, "Y", 'Data - Taxa'!$AK$3:$AK$169, "Y")</f>
        <v>0</v>
      </c>
      <c r="Z7" s="4">
        <f t="shared" si="0"/>
        <v>2</v>
      </c>
    </row>
    <row r="8" spans="1:26" x14ac:dyDescent="0.35">
      <c r="A8" s="153" t="s">
        <v>468</v>
      </c>
      <c r="B8">
        <f>COUNTIFS('Data - Taxa'!L$3:L$169, "Y", 'Data - Taxa'!$B$3:$B$169, "Algal", 'Data - Taxa'!$AK$3:$AK$169, "Y")</f>
        <v>0</v>
      </c>
      <c r="C8">
        <f>COUNTIFS('Data - Taxa'!L$3:L$169, "Y", 'Data - Taxa'!$B$3:$B$169, "Arboreomorpha", 'Data - Taxa'!$AK$3:$AK$169, "Y")+1</f>
        <v>2</v>
      </c>
      <c r="D8">
        <f>COUNTIFS('Data - Taxa'!L$3:L$169, "Y", 'Data - Taxa'!$B$3:$B$169, "Bilateralomorpha", 'Data - Taxa'!$AK$3:$AK$169, "Y")</f>
        <v>0</v>
      </c>
      <c r="E8">
        <f>COUNTIFS('Data - Taxa'!L$3:L$169, "Y", 'Data - Taxa'!$B$3:$B$169, "Cnidarian", 'Data - Taxa'!$AK$3:$AK$169, "Y")</f>
        <v>0</v>
      </c>
      <c r="F8">
        <f>COUNTIFS('Data - Taxa'!L$3:L$169, "Y", 'Data - Taxa'!$B$3:$B$169, "Dickinsoniomorpha", 'Data - Taxa'!$AK$3:$AK$169, "Y")</f>
        <v>2</v>
      </c>
      <c r="G8">
        <f>COUNTIFS('Data - Taxa'!L$3:L$169, "Y", 'Data - Taxa'!$B$3:$B$169, "Complex discoidal", 'Data - Taxa'!$AK$3:$AK$169, "Y")</f>
        <v>0</v>
      </c>
      <c r="H8">
        <f>COUNTIFS('Data - Taxa'!L$3:L$169, "Y", 'Data - Taxa'!$B$3:$B$169, "Erniettomorpha", 'Data - Taxa'!$AK$3:$AK$169, "Y")</f>
        <v>1</v>
      </c>
      <c r="I8">
        <f>COUNTIFS('Data - Taxa'!L$3:L$169, "Y", 'Data - Taxa'!$B$3:$B$169, "Kimberellamorpha", 'Data - Taxa'!$AK$3:$AK$169, "Y")</f>
        <v>1</v>
      </c>
      <c r="J8">
        <f>COUNTIFS('Data - Taxa'!L$3:L$169, "Y", 'Data - Taxa'!$B$3:$B$169, "Pentaradialomorpha", 'Data - Taxa'!$AK$3:$AK$169, "Y")</f>
        <v>0</v>
      </c>
      <c r="K8">
        <f>COUNTIFS('Data - Taxa'!L$3:L$169, "Y", 'Data - Taxa'!$B$3:$B$169, "Protist", 'Data - Taxa'!$AK$3:$AK$169, "Y")</f>
        <v>1</v>
      </c>
      <c r="L8">
        <f>COUNTIFS('Data - Taxa'!L$3:L$169, "Y", 'Data - Taxa'!$B$3:$B$169, "Rangeomorpha", 'Data - Taxa'!$AK$3:$AK$169, "Y")</f>
        <v>1</v>
      </c>
      <c r="M8">
        <f>COUNTIFS('Data - Taxa'!L$3:L$169, "Y", 'Data - Taxa'!$B$3:$B$169, "Sponges", 'Data - Taxa'!$AK$3:$AK$169, "Y")</f>
        <v>0</v>
      </c>
      <c r="N8">
        <f>COUNTIFS('Data - Taxa'!L$3:L$169, "Y", 'Data - Taxa'!$B$3:$B$169, "Tetraradialomorpha", 'Data - Taxa'!$AK$3:$AK$169, "Y")</f>
        <v>1</v>
      </c>
      <c r="O8">
        <f>COUNTIFS('Data - Taxa'!L$3:L$169, "Y", 'Data - Taxa'!$B$3:$B$169, "Triradialomorpha", 'Data - Taxa'!$AK$3:$AK$169, "Y")</f>
        <v>1</v>
      </c>
      <c r="P8">
        <f>COUNTIFS('Data - Taxa'!L$3:L$169, "Y", 'Data - Taxa'!$B$3:$B$169, "Tubular", 'Data - Taxa'!$AK$3:$AK$169, "Y")</f>
        <v>1</v>
      </c>
      <c r="Q8">
        <f>COUNTIFS('Data - Taxa'!L$3:L$169, "Y", 'Data - Taxa'!$B$3:$B$169, "Miscellaneous", 'Data - Taxa'!$AK$3:$AK$169, "Y")+1</f>
        <v>7</v>
      </c>
      <c r="R8" s="4">
        <f>COUNTIFS('Data - Taxa'!L$3:L$169, "Y", 'Data - Taxa'!$AS$3:$AS$169, "Y", 'Data - Taxa'!$AK$3:$AK$169, "Y")</f>
        <v>0</v>
      </c>
      <c r="S8">
        <f>COUNTIFS('Data - Taxa'!L$3:L$169, "Y", 'Data - Taxa'!$AT$3:$AT$169, "Y", 'Data - Taxa'!$AK$3:$AK$169, "Y")</f>
        <v>3</v>
      </c>
      <c r="T8">
        <f>COUNTIFS('Data - Taxa'!L$3:L$169, "Y", 'Data - Taxa'!$AU$3:$AU$169, "Y", 'Data - Taxa'!$AK$3:$AK$169, "Y")</f>
        <v>2</v>
      </c>
      <c r="U8">
        <f>COUNTIFS('Data - Taxa'!L$3:L$169, "Y", 'Data - Taxa'!$AV$3:$AV$169, "Y", 'Data - Taxa'!$AK$3:$AK$169, "Y")</f>
        <v>3</v>
      </c>
      <c r="V8">
        <f>COUNTIFS('Data - Taxa'!L$3:L$169, "Y", 'Data - Taxa'!$AW$3:$AW$169, "Y", 'Data - Taxa'!$AK$3:$AK$169, "Y")</f>
        <v>1</v>
      </c>
      <c r="W8">
        <f>COUNTIFS('Data - Taxa'!L$3:L$169, "Y", 'Data - Taxa'!$AX$3:$AX$169, "Y", 'Data - Taxa'!$AK$3:$AK$169, "Y")</f>
        <v>1</v>
      </c>
      <c r="X8">
        <f>COUNTIFS('Data - Taxa'!L$3:L$169, "Y", 'Data - Taxa'!$AY$3:$AY$169, "Y", 'Data - Taxa'!$AK$3:$AK$169, "Y")</f>
        <v>1</v>
      </c>
      <c r="Y8">
        <f>COUNTIFS('Data - Taxa'!L$3:L$169, "Y", 'Data - Taxa'!$AZ$3:$AZ$169, "Y", 'Data - Taxa'!$AK$3:$AK$169, "Y")</f>
        <v>7</v>
      </c>
      <c r="Z8" s="4">
        <f t="shared" si="0"/>
        <v>18</v>
      </c>
    </row>
    <row r="9" spans="1:26" x14ac:dyDescent="0.35">
      <c r="A9" s="153" t="s">
        <v>469</v>
      </c>
      <c r="B9">
        <f>COUNTIFS('Data - Taxa'!M$3:M$169, "Y", 'Data - Taxa'!$B$3:$B$169, "Algal", 'Data - Taxa'!$AK$3:$AK$169, "Y")-1</f>
        <v>0</v>
      </c>
      <c r="C9">
        <f>COUNTIFS('Data - Taxa'!M$3:M$169, "Y", 'Data - Taxa'!$B$3:$B$169, "Arboreomorpha", 'Data - Taxa'!$AK$3:$AK$169, "Y")</f>
        <v>0</v>
      </c>
      <c r="D9">
        <f>COUNTIFS('Data - Taxa'!M$3:M$169, "Y", 'Data - Taxa'!$B$3:$B$169, "Bilateralomorpha", 'Data - Taxa'!$AK$3:$AK$169, "Y")</f>
        <v>0</v>
      </c>
      <c r="E9">
        <f>COUNTIFS('Data - Taxa'!M$3:M$169, "Y", 'Data - Taxa'!$B$3:$B$169, "Cnidarian", 'Data - Taxa'!$AK$3:$AK$169, "Y")</f>
        <v>0</v>
      </c>
      <c r="F9">
        <f>COUNTIFS('Data - Taxa'!M$3:M$169, "Y", 'Data - Taxa'!$B$3:$B$169, "Dickinsoniomorpha", 'Data - Taxa'!$AK$3:$AK$169, "Y")</f>
        <v>1</v>
      </c>
      <c r="G9">
        <f>COUNTIFS('Data - Taxa'!M$3:M$169, "Y", 'Data - Taxa'!$B$3:$B$169, "Complex discoidal", 'Data - Taxa'!$AK$3:$AK$169, "Y")</f>
        <v>0</v>
      </c>
      <c r="H9">
        <f>COUNTIFS('Data - Taxa'!M$3:M$169, "Y", 'Data - Taxa'!$B$3:$B$169, "Erniettomorpha", 'Data - Taxa'!$AK$3:$AK$169, "Y")-1</f>
        <v>0</v>
      </c>
      <c r="I9">
        <f>COUNTIFS('Data - Taxa'!M$3:M$169, "Y", 'Data - Taxa'!$B$3:$B$169, "Kimberellamorpha", 'Data - Taxa'!$AK$3:$AK$169, "Y")</f>
        <v>0</v>
      </c>
      <c r="J9">
        <f>COUNTIFS('Data - Taxa'!M$3:M$169, "Y", 'Data - Taxa'!$B$3:$B$169, "Pentaradialomorpha", 'Data - Taxa'!$AK$3:$AK$169, "Y")</f>
        <v>0</v>
      </c>
      <c r="K9">
        <f>COUNTIFS('Data - Taxa'!M$3:M$169, "Y", 'Data - Taxa'!$B$3:$B$169, "Protist", 'Data - Taxa'!$AK$3:$AK$169, "Y")</f>
        <v>0</v>
      </c>
      <c r="L9">
        <f>COUNTIFS('Data - Taxa'!M$3:M$169, "Y", 'Data - Taxa'!$B$3:$B$169, "Rangeomorpha", 'Data - Taxa'!$AK$3:$AK$169, "Y")</f>
        <v>0</v>
      </c>
      <c r="M9">
        <f>COUNTIFS('Data - Taxa'!M$3:M$169, "Y", 'Data - Taxa'!$B$3:$B$169, "Sponges", 'Data - Taxa'!$AK$3:$AK$169, "Y")</f>
        <v>0</v>
      </c>
      <c r="N9">
        <f>COUNTIFS('Data - Taxa'!M$3:M$169, "Y", 'Data - Taxa'!$B$3:$B$169, "Tetraradialomorpha", 'Data - Taxa'!$AK$3:$AK$169, "Y")</f>
        <v>0</v>
      </c>
      <c r="O9">
        <f>COUNTIFS('Data - Taxa'!M$3:M$169, "Y", 'Data - Taxa'!$B$3:$B$169, "Triradialomorpha", 'Data - Taxa'!$AK$3:$AK$169, "Y")-1</f>
        <v>0</v>
      </c>
      <c r="P9">
        <f>COUNTIFS('Data - Taxa'!M$3:M$169, "Y", 'Data - Taxa'!$B$3:$B$169, "Tubular", 'Data - Taxa'!$AK$3:$AK$169, "Y")</f>
        <v>0</v>
      </c>
      <c r="Q9">
        <f>COUNTIFS('Data - Taxa'!M$3:M$169, "Y", 'Data - Taxa'!$B$3:$B$169, "Miscellaneous", 'Data - Taxa'!$AK$3:$AK$169, "Y")</f>
        <v>0</v>
      </c>
      <c r="R9" s="4">
        <f>COUNTIFS('Data - Taxa'!M$3:M$169, "Y", 'Data - Taxa'!$AS$3:$AS$169, "Y", 'Data - Taxa'!$AK$3:$AK$169, "Y")-1</f>
        <v>0</v>
      </c>
      <c r="S9">
        <f>COUNTIFS('Data - Taxa'!M$3:M$169, "Y", 'Data - Taxa'!$AT$3:$AT$169, "Y", 'Data - Taxa'!$AK$3:$AK$169, "Y")</f>
        <v>1</v>
      </c>
      <c r="T9">
        <f>COUNTIFS('Data - Taxa'!M$3:M$169, "Y", 'Data - Taxa'!$AU$3:$AU$169, "Y", 'Data - Taxa'!$AK$3:$AK$169, "Y")-1</f>
        <v>0</v>
      </c>
      <c r="U9">
        <f>COUNTIFS('Data - Taxa'!M$3:M$169, "Y", 'Data - Taxa'!$AV$3:$AV$169, "Y", 'Data - Taxa'!$AK$3:$AK$169, "Y")</f>
        <v>0</v>
      </c>
      <c r="V9">
        <f>COUNTIFS('Data - Taxa'!M$3:M$169, "Y", 'Data - Taxa'!$AW$3:$AW$169, "Y", 'Data - Taxa'!$AK$3:$AK$169, "Y")-1</f>
        <v>0</v>
      </c>
      <c r="W9">
        <f>COUNTIFS('Data - Taxa'!M$3:M$169, "Y", 'Data - Taxa'!$AX$3:$AX$169, "Y", 'Data - Taxa'!$AK$3:$AK$169, "Y")</f>
        <v>0</v>
      </c>
      <c r="X9">
        <f>COUNTIFS('Data - Taxa'!M$3:M$169, "Y", 'Data - Taxa'!$AY$3:$AY$169, "Y", 'Data - Taxa'!$AK$3:$AK$169, "Y")</f>
        <v>0</v>
      </c>
      <c r="Y9">
        <f>COUNTIFS('Data - Taxa'!M$3:M$169, "Y", 'Data - Taxa'!$AZ$3:$AZ$169, "Y", 'Data - Taxa'!$AK$3:$AK$169, "Y")-1</f>
        <v>0</v>
      </c>
      <c r="Z9" s="4">
        <f t="shared" si="0"/>
        <v>1</v>
      </c>
    </row>
    <row r="10" spans="1:26" x14ac:dyDescent="0.35">
      <c r="A10" s="153" t="s">
        <v>471</v>
      </c>
      <c r="B10">
        <f>COUNTIFS('Data - Taxa'!O$3:O$169, "Y", 'Data - Taxa'!$B$3:$B$169, "Algal", 'Data - Taxa'!$AK$3:$AK$169, "Y")</f>
        <v>1</v>
      </c>
      <c r="C10">
        <f>COUNTIFS('Data - Taxa'!O$3:O$169, "Y", 'Data - Taxa'!$B$3:$B$169, "Arboreomorpha", 'Data - Taxa'!$AK$3:$AK$169, "Y")</f>
        <v>0</v>
      </c>
      <c r="D10">
        <f>COUNTIFS('Data - Taxa'!O$3:O$169, "Y", 'Data - Taxa'!$B$3:$B$169, "Bilateralomorpha", 'Data - Taxa'!$AK$3:$AK$169, "Y")</f>
        <v>0</v>
      </c>
      <c r="E10">
        <f>COUNTIFS('Data - Taxa'!O$3:O$169, "Y", 'Data - Taxa'!$B$3:$B$169, "Cnidarian", 'Data - Taxa'!$AK$3:$AK$169, "Y")</f>
        <v>0</v>
      </c>
      <c r="F10">
        <f>COUNTIFS('Data - Taxa'!O$3:O$169, "Y", 'Data - Taxa'!$B$3:$B$169, "Dickinsoniomorpha", 'Data - Taxa'!$AK$3:$AK$169, "Y")</f>
        <v>0</v>
      </c>
      <c r="G10">
        <f>COUNTIFS('Data - Taxa'!O$3:O$169, "Y", 'Data - Taxa'!$B$3:$B$169, "Complex discoidal", 'Data - Taxa'!$AK$3:$AK$169, "Y")</f>
        <v>0</v>
      </c>
      <c r="H10">
        <f>COUNTIFS('Data - Taxa'!O$3:O$169, "Y", 'Data - Taxa'!$B$3:$B$169, "Erniettomorpha", 'Data - Taxa'!$AK$3:$AK$169, "Y")</f>
        <v>0</v>
      </c>
      <c r="I10">
        <f>COUNTIFS('Data - Taxa'!O$3:O$169, "Y", 'Data - Taxa'!$B$3:$B$169, "Kimberellamorpha", 'Data - Taxa'!$AK$3:$AK$169, "Y")</f>
        <v>0</v>
      </c>
      <c r="J10">
        <f>COUNTIFS('Data - Taxa'!O$3:O$169, "Y", 'Data - Taxa'!$B$3:$B$169, "Pentaradialomorpha", 'Data - Taxa'!$AK$3:$AK$169, "Y")</f>
        <v>0</v>
      </c>
      <c r="K10">
        <f>COUNTIFS('Data - Taxa'!O$3:O$169, "Y", 'Data - Taxa'!$B$3:$B$169, "Protist", 'Data - Taxa'!$AK$3:$AK$169, "Y")</f>
        <v>0</v>
      </c>
      <c r="L10">
        <f>COUNTIFS('Data - Taxa'!O$3:O$169, "Y", 'Data - Taxa'!$B$3:$B$169, "Rangeomorpha", 'Data - Taxa'!$AK$3:$AK$169, "Y")</f>
        <v>2</v>
      </c>
      <c r="M10">
        <f>COUNTIFS('Data - Taxa'!O$3:O$169, "Y", 'Data - Taxa'!$B$3:$B$169, "Sponges", 'Data - Taxa'!$AK$3:$AK$169, "Y")</f>
        <v>0</v>
      </c>
      <c r="N10">
        <f>COUNTIFS('Data - Taxa'!O$3:O$169, "Y", 'Data - Taxa'!$B$3:$B$169, "Tetraradialomorpha", 'Data - Taxa'!$AK$3:$AK$169, "Y")</f>
        <v>0</v>
      </c>
      <c r="O10">
        <f>COUNTIFS('Data - Taxa'!O$3:O$169, "Y", 'Data - Taxa'!$B$3:$B$169, "Triradialomorpha", 'Data - Taxa'!$AK$3:$AK$169, "Y")</f>
        <v>0</v>
      </c>
      <c r="P10">
        <f>COUNTIFS('Data - Taxa'!O$3:O$169, "Y", 'Data - Taxa'!$B$3:$B$169, "Tubular", 'Data - Taxa'!$AK$3:$AK$169, "Y")</f>
        <v>0</v>
      </c>
      <c r="Q10">
        <f>COUNTIFS('Data - Taxa'!O$3:O$169, "Y", 'Data - Taxa'!$B$3:$B$169, "Miscellaneous", 'Data - Taxa'!$AK$3:$AK$169, "Y")</f>
        <v>0</v>
      </c>
      <c r="R10" s="4">
        <f>COUNTIFS('Data - Taxa'!O$3:O$169, "Y", 'Data - Taxa'!$AS$3:$AS$169, "Y", 'Data - Taxa'!$AK$3:$AK$169, "Y")</f>
        <v>1</v>
      </c>
      <c r="S10">
        <f>COUNTIFS('Data - Taxa'!O$3:O$169, "Y", 'Data - Taxa'!$AT$3:$AT$169, "Y", 'Data - Taxa'!$AK$3:$AK$169, "Y")</f>
        <v>0</v>
      </c>
      <c r="T10">
        <f>COUNTIFS('Data - Taxa'!O$3:O$169, "Y", 'Data - Taxa'!$AU$3:$AU$169, "Y", 'Data - Taxa'!$AK$3:$AK$169, "Y")</f>
        <v>0</v>
      </c>
      <c r="U10">
        <f>COUNTIFS('Data - Taxa'!O$3:O$169, "Y", 'Data - Taxa'!$AV$3:$AV$169, "Y", 'Data - Taxa'!$AK$3:$AK$169, "Y")</f>
        <v>2</v>
      </c>
      <c r="V10">
        <f>COUNTIFS('Data - Taxa'!O$3:O$169, "Y", 'Data - Taxa'!$AW$3:$AW$169, "Y", 'Data - Taxa'!$AK$3:$AK$169, "Y")</f>
        <v>0</v>
      </c>
      <c r="W10">
        <f>COUNTIFS('Data - Taxa'!O$3:O$169, "Y", 'Data - Taxa'!$AX$3:$AX$169, "Y", 'Data - Taxa'!$AK$3:$AK$169, "Y")</f>
        <v>0</v>
      </c>
      <c r="X10">
        <f>COUNTIFS('Data - Taxa'!O$3:O$169, "Y", 'Data - Taxa'!$AY$3:$AY$169, "Y", 'Data - Taxa'!$AK$3:$AK$169, "Y")</f>
        <v>0</v>
      </c>
      <c r="Y10">
        <f>COUNTIFS('Data - Taxa'!O$3:O$169, "Y", 'Data - Taxa'!$AZ$3:$AZ$169, "Y", 'Data - Taxa'!$AK$3:$AK$169, "Y")</f>
        <v>0</v>
      </c>
      <c r="Z10" s="4">
        <f t="shared" si="0"/>
        <v>3</v>
      </c>
    </row>
    <row r="11" spans="1:26" x14ac:dyDescent="0.35">
      <c r="A11" s="153" t="s">
        <v>472</v>
      </c>
      <c r="B11">
        <f>COUNTIFS('Data - Taxa'!P$3:P$169, "Y", 'Data - Taxa'!$B$3:$B$169, "Algal", 'Data - Taxa'!$AK$3:$AK$169, "Y")</f>
        <v>1</v>
      </c>
      <c r="C11">
        <f>COUNTIFS('Data - Taxa'!P$3:P$169, "Y", 'Data - Taxa'!$B$3:$B$169, "Arboreomorpha", 'Data - Taxa'!$AK$3:$AK$169, "Y") - 2</f>
        <v>0</v>
      </c>
      <c r="D11">
        <f>COUNTIFS('Data - Taxa'!P$3:P$169, "Y", 'Data - Taxa'!$B$3:$B$169, "Bilateralomorpha", 'Data - Taxa'!$AK$3:$AK$169, "Y")</f>
        <v>0</v>
      </c>
      <c r="E11">
        <f>COUNTIFS('Data - Taxa'!P$3:P$169, "Y", 'Data - Taxa'!$B$3:$B$169, "Cnidarian", 'Data - Taxa'!$AK$3:$AK$169, "Y")</f>
        <v>0</v>
      </c>
      <c r="F11">
        <f>COUNTIFS('Data - Taxa'!P$3:P$169, "Y", 'Data - Taxa'!$B$3:$B$169, "Dickinsoniomorpha", 'Data - Taxa'!$AK$3:$AK$169, "Y")</f>
        <v>0</v>
      </c>
      <c r="G11">
        <f>COUNTIFS('Data - Taxa'!P$3:P$169, "Y", 'Data - Taxa'!$B$3:$B$169, "Complex discoidal", 'Data - Taxa'!$AK$3:$AK$169, "Y")</f>
        <v>0</v>
      </c>
      <c r="H11">
        <f>COUNTIFS('Data - Taxa'!P$3:P$169, "Y", 'Data - Taxa'!$B$3:$B$169, "Erniettomorpha", 'Data - Taxa'!$AK$3:$AK$169, "Y")</f>
        <v>0</v>
      </c>
      <c r="I11">
        <f>COUNTIFS('Data - Taxa'!P$3:P$169, "Y", 'Data - Taxa'!$B$3:$B$169, "Kimberellamorpha", 'Data - Taxa'!$AK$3:$AK$169, "Y")</f>
        <v>0</v>
      </c>
      <c r="J11">
        <f>COUNTIFS('Data - Taxa'!P$3:P$169, "Y", 'Data - Taxa'!$B$3:$B$169, "Pentaradialomorpha", 'Data - Taxa'!$AK$3:$AK$169, "Y")</f>
        <v>0</v>
      </c>
      <c r="K11">
        <f>COUNTIFS('Data - Taxa'!P$3:P$169, "Y", 'Data - Taxa'!$B$3:$B$169, "Protist", 'Data - Taxa'!$AK$3:$AK$169, "Y")-3</f>
        <v>0</v>
      </c>
      <c r="L11">
        <f>COUNTIFS('Data - Taxa'!P$3:P$169, "Y", 'Data - Taxa'!$B$3:$B$169, "Rangeomorpha", 'Data - Taxa'!$AK$3:$AK$169, "Y") -4</f>
        <v>0</v>
      </c>
      <c r="M11">
        <f>COUNTIFS('Data - Taxa'!P$3:P$169, "Y", 'Data - Taxa'!$B$3:$B$169, "Sponges", 'Data - Taxa'!$AK$3:$AK$169, "Y")</f>
        <v>0</v>
      </c>
      <c r="N11">
        <f>COUNTIFS('Data - Taxa'!P$3:P$169, "Y", 'Data - Taxa'!$B$3:$B$169, "Tetraradialomorpha", 'Data - Taxa'!$AK$3:$AK$169, "Y")</f>
        <v>0</v>
      </c>
      <c r="O11">
        <f>COUNTIFS('Data - Taxa'!P$3:P$169, "Y", 'Data - Taxa'!$B$3:$B$169, "Triradialomorpha", 'Data - Taxa'!$AK$3:$AK$169, "Y")</f>
        <v>0</v>
      </c>
      <c r="P11">
        <f>COUNTIFS('Data - Taxa'!P$3:P$169, "Y", 'Data - Taxa'!$B$3:$B$169, "Tubular", 'Data - Taxa'!$AK$3:$AK$169, "Y")</f>
        <v>0</v>
      </c>
      <c r="Q11">
        <f>COUNTIFS('Data - Taxa'!P$3:P$169, "Y", 'Data - Taxa'!$B$3:$B$169, "Miscellaneous", 'Data - Taxa'!$AK$3:$AK$169, "Y") - 1</f>
        <v>0</v>
      </c>
      <c r="R11" s="4">
        <f>COUNTIFS('Data - Taxa'!P$3:P$169, "Y", 'Data - Taxa'!$AS$3:$AS$169, "Y", 'Data - Taxa'!$AK$3:$AK$169, "Y")</f>
        <v>1</v>
      </c>
      <c r="S11">
        <f>COUNTIFS('Data - Taxa'!P$3:P$169, "Y", 'Data - Taxa'!$AT$3:$AT$169, "Y", 'Data - Taxa'!$AK$3:$AK$169, "Y")</f>
        <v>0</v>
      </c>
      <c r="T11">
        <f>COUNTIFS('Data - Taxa'!P$3:P$169, "Y", 'Data - Taxa'!$AU$3:$AU$169, "Y", 'Data - Taxa'!$AK$3:$AK$169, "Y")</f>
        <v>0</v>
      </c>
      <c r="U11">
        <f>COUNTIFS('Data - Taxa'!P$3:P$169, "Y", 'Data - Taxa'!$AV$3:$AV$169, "Y", 'Data - Taxa'!$AK$3:$AK$169, "Y") - 6</f>
        <v>0</v>
      </c>
      <c r="V11">
        <f>COUNTIFS('Data - Taxa'!P$3:P$169, "Y", 'Data - Taxa'!$AW$3:$AW$169, "Y", 'Data - Taxa'!$AK$3:$AK$169, "Y")</f>
        <v>0</v>
      </c>
      <c r="W11">
        <f>COUNTIFS('Data - Taxa'!P$3:P$169, "Y", 'Data - Taxa'!$AX$3:$AX$169, "Y", 'Data - Taxa'!$AK$3:$AK$169, "Y")-3</f>
        <v>0</v>
      </c>
      <c r="X11">
        <f>COUNTIFS('Data - Taxa'!P$3:P$169, "Y", 'Data - Taxa'!$AY$3:$AY$169, "Y", 'Data - Taxa'!$AK$3:$AK$169, "Y")</f>
        <v>0</v>
      </c>
      <c r="Y11">
        <f>COUNTIFS('Data - Taxa'!P$3:P$169, "Y", 'Data - Taxa'!$AZ$3:$AZ$169, "Y", 'Data - Taxa'!$AK$3:$AK$169, "Y") - 1</f>
        <v>0</v>
      </c>
      <c r="Z11" s="4">
        <f t="shared" si="0"/>
        <v>1</v>
      </c>
    </row>
    <row r="12" spans="1:26" x14ac:dyDescent="0.35">
      <c r="A12" s="153" t="s">
        <v>475</v>
      </c>
      <c r="B12">
        <f>COUNTIFS('Data - Taxa'!T$3:T$169, "Y", 'Data - Taxa'!$B$3:$B$169, "Algal", 'Data - Taxa'!$AK$3:$AK$169, "Y")</f>
        <v>12</v>
      </c>
      <c r="C12">
        <f>COUNTIFS('Data - Taxa'!T$3:T$169, "Y", 'Data - Taxa'!$B$3:$B$169, "Arboreomorpha", 'Data - Taxa'!$AK$3:$AK$169, "Y")</f>
        <v>0</v>
      </c>
      <c r="D12">
        <f>COUNTIFS('Data - Taxa'!T$3:T$169, "Y", 'Data - Taxa'!$B$3:$B$169, "Bilateralomorpha", 'Data - Taxa'!$AK$3:$AK$169, "Y")</f>
        <v>0</v>
      </c>
      <c r="E12">
        <f>COUNTIFS('Data - Taxa'!T$3:T$169, "Y", 'Data - Taxa'!$B$3:$B$169, "Cnidarian", 'Data - Taxa'!$AK$3:$AK$169, "Y")</f>
        <v>0</v>
      </c>
      <c r="F12">
        <f>COUNTIFS('Data - Taxa'!T$3:T$169, "Y", 'Data - Taxa'!$B$3:$B$169, "Dickinsoniomorpha", 'Data - Taxa'!$AK$3:$AK$169, "Y")</f>
        <v>0</v>
      </c>
      <c r="G12">
        <f>COUNTIFS('Data - Taxa'!T$3:T$169, "Y", 'Data - Taxa'!$B$3:$B$169, "Complex discoidal", 'Data - Taxa'!$AK$3:$AK$169, "Y")</f>
        <v>1</v>
      </c>
      <c r="H12">
        <f>COUNTIFS('Data - Taxa'!T$3:T$169, "Y", 'Data - Taxa'!$B$3:$B$169, "Erniettomorpha", 'Data - Taxa'!$AK$3:$AK$169, "Y")</f>
        <v>0</v>
      </c>
      <c r="I12">
        <f>COUNTIFS('Data - Taxa'!T$3:T$169, "Y", 'Data - Taxa'!$B$3:$B$169, "Kimberellamorpha", 'Data - Taxa'!$AK$3:$AK$169, "Y")</f>
        <v>0</v>
      </c>
      <c r="J12">
        <f>COUNTIFS('Data - Taxa'!T$3:T$169, "Y", 'Data - Taxa'!$B$3:$B$169, "Pentaradialomorpha", 'Data - Taxa'!$AK$3:$AK$169, "Y")</f>
        <v>0</v>
      </c>
      <c r="K12">
        <f>COUNTIFS('Data - Taxa'!T$3:T$169, "Y", 'Data - Taxa'!$B$3:$B$169, "Protist", 'Data - Taxa'!$AK$3:$AK$169, "Y")</f>
        <v>2</v>
      </c>
      <c r="L12">
        <f>COUNTIFS('Data - Taxa'!T$3:T$169, "Y", 'Data - Taxa'!$B$3:$B$169, "Rangeomorpha", 'Data - Taxa'!$AK$3:$AK$169, "Y")</f>
        <v>0</v>
      </c>
      <c r="M12">
        <f>COUNTIFS('Data - Taxa'!T$3:T$169, "Y", 'Data - Taxa'!$B$3:$B$169, "Sponges", 'Data - Taxa'!$AK$3:$AK$169, "Y")</f>
        <v>0</v>
      </c>
      <c r="N12">
        <f>COUNTIFS('Data - Taxa'!T$3:T$169, "Y", 'Data - Taxa'!$B$3:$B$169, "Tetraradialomorpha", 'Data - Taxa'!$AK$3:$AK$169, "Y")</f>
        <v>0</v>
      </c>
      <c r="O12">
        <f>COUNTIFS('Data - Taxa'!T$3:T$169, "Y", 'Data - Taxa'!$B$3:$B$169, "Triradialomorpha", 'Data - Taxa'!$AK$3:$AK$169, "Y")</f>
        <v>0</v>
      </c>
      <c r="P12">
        <f>COUNTIFS('Data - Taxa'!T$3:T$169, "Y", 'Data - Taxa'!$B$3:$B$169, "Tubular", 'Data - Taxa'!$AK$3:$AK$169, "Y")</f>
        <v>4</v>
      </c>
      <c r="Q12">
        <f>COUNTIFS('Data - Taxa'!T$3:T$169, "Y", 'Data - Taxa'!$B$3:$B$169, "Miscellaneous", 'Data - Taxa'!$AK$3:$AK$169, "Y")+1</f>
        <v>2</v>
      </c>
      <c r="R12" s="4">
        <f>COUNTIFS('Data - Taxa'!T$3:T$169, "Y", 'Data - Taxa'!$AS$3:$AS$169, "Y", 'Data - Taxa'!$AK$3:$AK$169, "Y")</f>
        <v>12</v>
      </c>
      <c r="S12">
        <f>COUNTIFS('Data - Taxa'!T$3:T$169, "Y", 'Data - Taxa'!$AT$3:$AT$169, "Y", 'Data - Taxa'!$AK$3:$AK$169, "Y")</f>
        <v>0</v>
      </c>
      <c r="T12">
        <f>COUNTIFS('Data - Taxa'!T$3:T$169, "Y", 'Data - Taxa'!$AU$3:$AU$169, "Y", 'Data - Taxa'!$AK$3:$AK$169, "Y")</f>
        <v>1</v>
      </c>
      <c r="U12">
        <f>COUNTIFS('Data - Taxa'!T$3:T$169, "Y", 'Data - Taxa'!$AV$3:$AV$169, "Y", 'Data - Taxa'!$AK$3:$AK$169, "Y")</f>
        <v>0</v>
      </c>
      <c r="V12">
        <f>COUNTIFS('Data - Taxa'!T$3:T$169, "Y", 'Data - Taxa'!$AW$3:$AW$169, "Y", 'Data - Taxa'!$AK$3:$AK$169, "Y")</f>
        <v>0</v>
      </c>
      <c r="W12">
        <f>COUNTIFS('Data - Taxa'!T$3:T$169, "Y", 'Data - Taxa'!$AX$3:$AX$169, "Y", 'Data - Taxa'!$AK$3:$AK$169, "Y")</f>
        <v>2</v>
      </c>
      <c r="X12">
        <f>COUNTIFS('Data - Taxa'!T$3:T$169, "Y", 'Data - Taxa'!$AY$3:$AY$169, "Y", 'Data - Taxa'!$AK$3:$AK$169, "Y")</f>
        <v>4</v>
      </c>
      <c r="Y12">
        <f>COUNTIFS('Data - Taxa'!T$3:T$169, "Y", 'Data - Taxa'!$AZ$3:$AZ$169, "Y", 'Data - Taxa'!$AK$3:$AK$169, "Y")</f>
        <v>2</v>
      </c>
      <c r="Z12" s="4">
        <f>SUM(R12:Y12)</f>
        <v>21</v>
      </c>
    </row>
    <row r="13" spans="1:26" x14ac:dyDescent="0.35">
      <c r="A13" s="153" t="s">
        <v>479</v>
      </c>
      <c r="B13">
        <f>COUNTIFS('Data - Taxa'!Y$3:Y$169, "Y", 'Data - Taxa'!$B$3:$B$169, "Algal", 'Data - Taxa'!$AK$3:$AK$169, "Y")</f>
        <v>0</v>
      </c>
      <c r="C13">
        <f>COUNTIFS('Data - Taxa'!Y$3:Y$169, "Y", 'Data - Taxa'!$B$3:$B$169, "Arboreomorpha", 'Data - Taxa'!$AK$3:$AK$169, "Y")</f>
        <v>1</v>
      </c>
      <c r="D13">
        <f>COUNTIFS('Data - Taxa'!Y$3:Y$169, "Y", 'Data - Taxa'!$B$3:$B$169, "Bilateralomorpha", 'Data - Taxa'!$AK$3:$AK$169, "Y")</f>
        <v>0</v>
      </c>
      <c r="E13">
        <f>COUNTIFS('Data - Taxa'!Y$3:Y$169, "Y", 'Data - Taxa'!$B$3:$B$169, "Cnidarian", 'Data - Taxa'!$AK$3:$AK$169, "Y")</f>
        <v>0</v>
      </c>
      <c r="F13">
        <f>COUNTIFS('Data - Taxa'!Y$3:Y$169, "Y", 'Data - Taxa'!$B$3:$B$169, "Dickinsoniomorpha", 'Data - Taxa'!$AK$3:$AK$169, "Y")</f>
        <v>0</v>
      </c>
      <c r="G13">
        <f>COUNTIFS('Data - Taxa'!Y$3:Y$169, "Y", 'Data - Taxa'!$B$3:$B$169, "Complex discoidal", 'Data - Taxa'!$AK$3:$AK$169, "Y")</f>
        <v>0</v>
      </c>
      <c r="H13">
        <f>COUNTIFS('Data - Taxa'!Y$3:Y$169, "Y", 'Data - Taxa'!$B$3:$B$169, "Erniettomorpha", 'Data - Taxa'!$AK$3:$AK$169, "Y")</f>
        <v>0</v>
      </c>
      <c r="I13">
        <f>COUNTIFS('Data - Taxa'!Y$3:Y$169, "Y", 'Data - Taxa'!$B$3:$B$169, "Kimberellamorpha", 'Data - Taxa'!$AK$3:$AK$169, "Y")</f>
        <v>0</v>
      </c>
      <c r="J13">
        <f>COUNTIFS('Data - Taxa'!Y$3:Y$169, "Y", 'Data - Taxa'!$B$3:$B$169, "Pentaradialomorpha", 'Data - Taxa'!$AK$3:$AK$169, "Y")</f>
        <v>0</v>
      </c>
      <c r="K13">
        <f>COUNTIFS('Data - Taxa'!Y$3:Y$169, "Y", 'Data - Taxa'!$B$3:$B$169, "Protist", 'Data - Taxa'!$AK$3:$AK$169, "Y")</f>
        <v>0</v>
      </c>
      <c r="L13">
        <f>COUNTIFS('Data - Taxa'!Y$3:Y$169, "Y", 'Data - Taxa'!$B$3:$B$169, "Rangeomorpha", 'Data - Taxa'!$AK$3:$AK$169, "Y")</f>
        <v>0</v>
      </c>
      <c r="M13">
        <f>COUNTIFS('Data - Taxa'!Y$3:Y$169, "Y", 'Data - Taxa'!$B$3:$B$169, "Sponges", 'Data - Taxa'!$AK$3:$AK$169, "Y")</f>
        <v>0</v>
      </c>
      <c r="N13">
        <f>COUNTIFS('Data - Taxa'!Y$3:Y$169, "Y", 'Data - Taxa'!$B$3:$B$169, "Tetraradialomorpha", 'Data - Taxa'!$AK$3:$AK$169, "Y")</f>
        <v>0</v>
      </c>
      <c r="O13">
        <f>COUNTIFS('Data - Taxa'!Y$3:Y$169, "Y", 'Data - Taxa'!$B$3:$B$169, "Triradialomorpha", 'Data - Taxa'!$AK$3:$AK$169, "Y")</f>
        <v>0</v>
      </c>
      <c r="P13">
        <f>COUNTIFS('Data - Taxa'!Y$3:Y$169, "Y", 'Data - Taxa'!$B$3:$B$169, "Tubular", 'Data - Taxa'!$AK$3:$AK$169, "Y")</f>
        <v>0</v>
      </c>
      <c r="Q13">
        <f>COUNTIFS('Data - Taxa'!Y$3:Y$169, "Y", 'Data - Taxa'!$B$3:$B$169, "Miscellaneous", 'Data - Taxa'!$AK$3:$AK$169, "Y")</f>
        <v>0</v>
      </c>
      <c r="R13" s="4">
        <f>COUNTIFS('Data - Taxa'!Y$3:Y$169, "Y", 'Data - Taxa'!$AS$3:$AS$169, "Y", 'Data - Taxa'!$AK$3:$AK$169, "Y")</f>
        <v>0</v>
      </c>
      <c r="S13">
        <f>COUNTIFS('Data - Taxa'!Y$3:Y$169, "Y", 'Data - Taxa'!$AT$3:$AT$169, "Y", 'Data - Taxa'!$AK$3:$AK$169, "Y")</f>
        <v>0</v>
      </c>
      <c r="T13">
        <f>COUNTIFS('Data - Taxa'!Y$3:Y$169, "Y", 'Data - Taxa'!$AU$3:$AU$169, "Y", 'Data - Taxa'!$AK$3:$AK$169, "Y")</f>
        <v>0</v>
      </c>
      <c r="U13">
        <f>COUNTIFS('Data - Taxa'!Y$3:Y$169, "Y", 'Data - Taxa'!$AV$3:$AV$169, "Y", 'Data - Taxa'!$AK$3:$AK$169, "Y")</f>
        <v>1</v>
      </c>
      <c r="V13">
        <f>COUNTIFS('Data - Taxa'!Y$3:Y$169, "Y", 'Data - Taxa'!$AW$3:$AW$169, "Y", 'Data - Taxa'!$AK$3:$AK$169, "Y")</f>
        <v>0</v>
      </c>
      <c r="W13">
        <f>COUNTIFS('Data - Taxa'!Y$3:Y$169, "Y", 'Data - Taxa'!$AX$3:$AX$169, "Y", 'Data - Taxa'!$AK$3:$AK$169, "Y")</f>
        <v>0</v>
      </c>
      <c r="X13">
        <f>COUNTIFS('Data - Taxa'!Y$3:Y$169, "Y", 'Data - Taxa'!$AZ$3:$AZ$169, "Y", 'Data - Taxa'!$AK$3:$AK$169, "Y")</f>
        <v>0</v>
      </c>
      <c r="Y13">
        <f>COUNTIFS('Data - Taxa'!Y$3:Y$169, "Y", 'Data - Taxa'!$AZ$3:$AZ$169, "Y", 'Data - Taxa'!$AK$3:$AK$169, "Y")</f>
        <v>0</v>
      </c>
      <c r="Z13" s="4">
        <f>SUM(R13:Y13)</f>
        <v>1</v>
      </c>
    </row>
    <row r="14" spans="1:26" x14ac:dyDescent="0.35">
      <c r="A14" s="153" t="s">
        <v>483</v>
      </c>
      <c r="B14">
        <f>COUNTIFS('Data - Taxa'!AC$3:AC$169, "Y", 'Data - Taxa'!$B$3:$B$169, "Algal", 'Data - Taxa'!$AK$3:$AK$169, "Y")</f>
        <v>0</v>
      </c>
      <c r="C14">
        <f>COUNTIFS('Data - Taxa'!AC$3:AC$169, "Y", 'Data - Taxa'!$B$3:$B$169, "Arboreomorpha", 'Data - Taxa'!$AK$3:$AK$169, "Y")</f>
        <v>2</v>
      </c>
      <c r="D14">
        <f>COUNTIFS('Data - Taxa'!AC$3:AC$169, "Y", 'Data - Taxa'!$B$3:$B$169, "Bilateralomorpha", 'Data - Taxa'!$AK$3:$AK$169, "Y")</f>
        <v>0</v>
      </c>
      <c r="E14">
        <f>COUNTIFS('Data - Taxa'!AC$3:AC$169, "Y", 'Data - Taxa'!$B$3:$B$169, "Cnidarian", 'Data - Taxa'!$AK$3:$AK$169, "Y")</f>
        <v>0</v>
      </c>
      <c r="F14">
        <f>COUNTIFS('Data - Taxa'!AC$3:AC$169, "Y", 'Data - Taxa'!$B$3:$B$169, "Dickinsoniomorpha", 'Data - Taxa'!$AK$3:$AK$169, "Y")</f>
        <v>0</v>
      </c>
      <c r="G14">
        <f>COUNTIFS('Data - Taxa'!AC$3:AC$169, "Y", 'Data - Taxa'!$B$3:$B$169, "Complex discoidal", 'Data - Taxa'!$AK$3:$AK$169, "Y")</f>
        <v>0</v>
      </c>
      <c r="H14">
        <f>COUNTIFS('Data - Taxa'!AC$3:AC$169, "Y", 'Data - Taxa'!$B$3:$B$169, "Erniettomorpha", 'Data - Taxa'!$AK$3:$AK$169, "Y")</f>
        <v>0</v>
      </c>
      <c r="I14">
        <f>COUNTIFS('Data - Taxa'!AC$3:AC$169, "Y", 'Data - Taxa'!$B$3:$B$169, "Kimberellamorpha", 'Data - Taxa'!$AK$3:$AK$169, "Y")</f>
        <v>0</v>
      </c>
      <c r="J14">
        <f>COUNTIFS('Data - Taxa'!AC$3:AC$169, "Y", 'Data - Taxa'!$B$3:$B$169, "Pentaradialomorpha", 'Data - Taxa'!$AK$3:$AK$169, "Y")</f>
        <v>0</v>
      </c>
      <c r="K14">
        <f>COUNTIFS('Data - Taxa'!AC$3:AC$169, "Y", 'Data - Taxa'!$B$3:$B$169, "Protist", 'Data - Taxa'!$AK$3:$AK$169, "Y")</f>
        <v>1</v>
      </c>
      <c r="L14">
        <f>COUNTIFS('Data - Taxa'!AC$3:AC$169, "Y", 'Data - Taxa'!$B$3:$B$169, "Rangeomorpha", 'Data - Taxa'!$AK$3:$AK$169, "Y")</f>
        <v>4</v>
      </c>
      <c r="M14">
        <f>COUNTIFS('Data - Taxa'!AC$3:AC$169, "Y", 'Data - Taxa'!$B$3:$B$169, "Sponges", 'Data - Taxa'!$AK$3:$AK$169, "Y")</f>
        <v>0</v>
      </c>
      <c r="N14">
        <f>COUNTIFS('Data - Taxa'!AC$3:AC$169, "Y", 'Data - Taxa'!$B$3:$B$169, "Tetraradialomorpha", 'Data - Taxa'!$AK$3:$AK$169, "Y")</f>
        <v>0</v>
      </c>
      <c r="O14">
        <f>COUNTIFS('Data - Taxa'!AC$3:AC$169, "Y", 'Data - Taxa'!$B$3:$B$169, "Triradialomorpha", 'Data - Taxa'!$AK$3:$AK$169, "Y")</f>
        <v>0</v>
      </c>
      <c r="P14">
        <f>COUNTIFS('Data - Taxa'!AC$3:AC$169, "Y", 'Data - Taxa'!$B$3:$B$169, "Tubular", 'Data - Taxa'!$AK$3:$AK$169, "Y")</f>
        <v>0</v>
      </c>
      <c r="Q14">
        <f>COUNTIFS('Data - Taxa'!AC$3:AC$169, "Y", 'Data - Taxa'!$B$3:$B$169, "Miscellaneous", 'Data - Taxa'!$AK$3:$AK$169, "Y")</f>
        <v>1</v>
      </c>
      <c r="R14" s="4">
        <f>COUNTIFS('Data - Taxa'!AC$3:AC$169, "Y", 'Data - Taxa'!$AS$3:$AS$169, "Y", 'Data - Taxa'!$AK$3:$AK$169, "Y")</f>
        <v>0</v>
      </c>
      <c r="S14">
        <f>COUNTIFS('Data - Taxa'!AC$3:AC$169, "Y", 'Data - Taxa'!$AT$3:$AT$169, "Y", 'Data - Taxa'!$AK$3:$AK$169, "Y")</f>
        <v>0</v>
      </c>
      <c r="T14">
        <f>COUNTIFS('Data - Taxa'!AC$3:AC$169, "Y", 'Data - Taxa'!$AU$3:$AU$169, "Y", 'Data - Taxa'!$AK$3:$AK$169, "Y")</f>
        <v>0</v>
      </c>
      <c r="U14">
        <f>COUNTIFS('Data - Taxa'!AC$3:AC$169, "Y", 'Data - Taxa'!$AV$3:$AV$169, "Y", 'Data - Taxa'!$AK$3:$AK$169, "Y")</f>
        <v>6</v>
      </c>
      <c r="V14">
        <f>COUNTIFS('Data - Taxa'!AC$3:AC$169, "Y", 'Data - Taxa'!$AW$3:$AW$169, "Y", 'Data - Taxa'!$AK$3:$AK$169, "Y")</f>
        <v>0</v>
      </c>
      <c r="W14">
        <f>COUNTIFS('Data - Taxa'!AC$3:AC$169, "Y", 'Data - Taxa'!$AX$3:$AX$169, "Y", 'Data - Taxa'!$AK$3:$AK$169, "Y")</f>
        <v>1</v>
      </c>
      <c r="X14">
        <f>COUNTIFS('Data - Taxa'!AC$3:AC$169, "Y", 'Data - Taxa'!$AY$3:$AY$169, "Y", 'Data - Taxa'!$AK$3:$AK$169, "Y")</f>
        <v>0</v>
      </c>
      <c r="Y14">
        <f>COUNTIFS('Data - Taxa'!AC$3:AC$169, "Y", 'Data - Taxa'!$AZ$3:$AZ$169, "Y", 'Data - Taxa'!$AK$3:$AK$169, "Y")</f>
        <v>1</v>
      </c>
      <c r="Z14" s="4">
        <f t="shared" si="0"/>
        <v>8</v>
      </c>
    </row>
    <row r="15" spans="1:26" x14ac:dyDescent="0.35">
      <c r="A15" s="153" t="s">
        <v>487</v>
      </c>
      <c r="B15">
        <f>COUNTIFS('Data - Taxa'!AG$3:AG$169, "Y", 'Data - Taxa'!$B$3:$B$169, "Algal", 'Data - Taxa'!$AK$3:$AK$169, "Y")</f>
        <v>0</v>
      </c>
      <c r="C15">
        <f>COUNTIFS('Data - Taxa'!AG$3:AG$169, "Y", 'Data - Taxa'!$B$3:$B$169, "Arboreomorpha", 'Data - Taxa'!$AK$3:$AK$169, "Y")</f>
        <v>0</v>
      </c>
      <c r="D15">
        <f>COUNTIFS('Data - Taxa'!AG$3:AG$169, "Y", 'Data - Taxa'!$B$3:$B$169, "Bilateralomorpha", 'Data - Taxa'!$AK$3:$AK$169, "Y")</f>
        <v>0</v>
      </c>
      <c r="E15">
        <f>COUNTIFS('Data - Taxa'!AG$3:AG$169, "Y", 'Data - Taxa'!$B$3:$B$169, "Cnidarian", 'Data - Taxa'!$AK$3:$AK$169, "Y")</f>
        <v>0</v>
      </c>
      <c r="F15">
        <f>COUNTIFS('Data - Taxa'!AG$3:AG$169, "Y", 'Data - Taxa'!$B$3:$B$169, "Dickinsoniomorpha", 'Data - Taxa'!$AK$3:$AK$169, "Y")</f>
        <v>0</v>
      </c>
      <c r="G15">
        <f>COUNTIFS('Data - Taxa'!AG$3:AG$169, "Y", 'Data - Taxa'!$B$3:$B$169, "Complex discoidal", 'Data - Taxa'!$AK$3:$AK$169, "Y")</f>
        <v>0</v>
      </c>
      <c r="H15">
        <f>COUNTIFS('Data - Taxa'!AG$3:AG$169, "Y", 'Data - Taxa'!$B$3:$B$169, "Erniettomorpha", 'Data - Taxa'!$AK$3:$AK$169, "Y")</f>
        <v>0</v>
      </c>
      <c r="I15">
        <f>COUNTIFS('Data - Taxa'!AG$3:AG$169, "Y", 'Data - Taxa'!$B$3:$B$169, "Kimberellamorpha", 'Data - Taxa'!$AK$3:$AK$169, "Y")</f>
        <v>0</v>
      </c>
      <c r="J15">
        <f>COUNTIFS('Data - Taxa'!AG$3:AG$169, "Y", 'Data - Taxa'!$B$3:$B$169, "Pentaradialomorpha", 'Data - Taxa'!$AK$3:$AK$169, "Y")</f>
        <v>0</v>
      </c>
      <c r="K15">
        <f>COUNTIFS('Data - Taxa'!AG$3:AG$169, "Y", 'Data - Taxa'!$B$3:$B$169, "Protist", 'Data - Taxa'!$AK$3:$AK$169, "Y")-2</f>
        <v>0</v>
      </c>
      <c r="L15">
        <f>COUNTIFS('Data - Taxa'!AG$3:AG$169, "Y", 'Data - Taxa'!$B$3:$B$169, "Rangeomorpha", 'Data - Taxa'!$AK$3:$AK$169, "Y")</f>
        <v>0</v>
      </c>
      <c r="M15">
        <f>COUNTIFS('Data - Taxa'!AG$3:AG$169, "Y", 'Data - Taxa'!$B$3:$B$169, "Sponges", 'Data - Taxa'!$AK$3:$AK$169, "Y")</f>
        <v>0</v>
      </c>
      <c r="N15">
        <f>COUNTIFS('Data - Taxa'!AG$3:AG$169, "Y", 'Data - Taxa'!$B$3:$B$169, "Tetraradialomorpha", 'Data - Taxa'!$AK$3:$AK$169, "Y")</f>
        <v>0</v>
      </c>
      <c r="O15">
        <f>COUNTIFS('Data - Taxa'!AG$3:AG$169, "Y", 'Data - Taxa'!$B$3:$B$169, "Triradialomorpha", 'Data - Taxa'!$AK$3:$AK$169, "Y")</f>
        <v>0</v>
      </c>
      <c r="P15">
        <f>COUNTIFS('Data - Taxa'!AG$3:AG$169, "Y", 'Data - Taxa'!$B$3:$B$169, "Tubular", 'Data - Taxa'!$AK$3:$AK$169, "Y")</f>
        <v>0</v>
      </c>
      <c r="Q15">
        <f>COUNTIFS('Data - Taxa'!AG$3:AG$169, "Y", 'Data - Taxa'!$B$3:$B$169, "Miscellaneous", 'Data - Taxa'!$AK$3:$AK$169, "Y")+1</f>
        <v>1</v>
      </c>
      <c r="R15" s="4">
        <f>COUNTIFS('Data - Taxa'!AG$3:AG$169, "Y", 'Data - Taxa'!$AS$3:$AS$169, "Y", 'Data - Taxa'!$AK$3:$AK$169, "Y")</f>
        <v>0</v>
      </c>
      <c r="S15">
        <f>COUNTIFS('Data - Taxa'!AG$3:AG$169, "Y", 'Data - Taxa'!$AT$3:$AT$169, "Y", 'Data - Taxa'!$AK$3:$AK$169, "Y")</f>
        <v>0</v>
      </c>
      <c r="T15">
        <f>COUNTIFS('Data - Taxa'!AG$3:AG$169, "Y", 'Data - Taxa'!$AU$3:$AU$169, "Y", 'Data - Taxa'!$AK$3:$AK$169, "Y")</f>
        <v>0</v>
      </c>
      <c r="U15">
        <f>COUNTIFS('Data - Taxa'!AG$3:AG$169, "Y", 'Data - Taxa'!$AV$3:$AV$169, "Y", 'Data - Taxa'!$AK$3:$AK$169, "Y")</f>
        <v>0</v>
      </c>
      <c r="V15">
        <f>COUNTIFS('Data - Taxa'!AG$3:AG$169, "Y", 'Data - Taxa'!$AW$3:$AW$169, "Y", 'Data - Taxa'!$AK$3:$AK$169, "Y")</f>
        <v>0</v>
      </c>
      <c r="W15">
        <f>COUNTIFS('Data - Taxa'!AG$3:AG$169, "Y", 'Data - Taxa'!$AX$3:$AX$169, "Y", 'Data - Taxa'!$AK$3:$AK$169, "Y")-2</f>
        <v>0</v>
      </c>
      <c r="X15">
        <f>COUNTIFS('Data - Taxa'!AG$3:AG$169, "Y", 'Data - Taxa'!$AY$3:$AY$169, "Y", 'Data - Taxa'!$AK$3:$AK$169, "Y")</f>
        <v>0</v>
      </c>
      <c r="Y15">
        <f>COUNTIFS('Data - Taxa'!AG$3:AG$169, "Y", 'Data - Taxa'!$AZ$3:$AZ$169, "Y", 'Data - Taxa'!$AK$3:$AK$169, "Y")</f>
        <v>1</v>
      </c>
      <c r="Z15" s="4">
        <f t="shared" si="0"/>
        <v>1</v>
      </c>
    </row>
  </sheetData>
  <mergeCells count="2">
    <mergeCell ref="B1:Q1"/>
    <mergeCell ref="R1:Y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9"/>
  <sheetViews>
    <sheetView zoomScale="70" zoomScaleNormal="70" workbookViewId="0"/>
  </sheetViews>
  <sheetFormatPr defaultRowHeight="14.5" x14ac:dyDescent="0.35"/>
  <cols>
    <col min="1" max="1" width="56.54296875" style="20" customWidth="1"/>
    <col min="2" max="15" width="3.453125" bestFit="1" customWidth="1"/>
    <col min="16" max="17" width="3.453125" customWidth="1"/>
    <col min="18" max="18" width="3.453125" style="4" customWidth="1"/>
    <col min="19" max="25" width="3.453125" customWidth="1"/>
    <col min="26" max="26" width="3.453125" style="4" customWidth="1"/>
  </cols>
  <sheetData>
    <row r="1" spans="1:26" x14ac:dyDescent="0.35">
      <c r="A1" s="124"/>
      <c r="B1" s="200" t="s">
        <v>321</v>
      </c>
      <c r="C1" s="201"/>
      <c r="D1" s="201"/>
      <c r="E1" s="201"/>
      <c r="F1" s="201"/>
      <c r="G1" s="201"/>
      <c r="H1" s="201"/>
      <c r="I1" s="201"/>
      <c r="J1" s="201"/>
      <c r="K1" s="201"/>
      <c r="L1" s="201"/>
      <c r="M1" s="201"/>
      <c r="N1" s="201"/>
      <c r="O1" s="201"/>
      <c r="P1" s="201"/>
      <c r="Q1" s="201"/>
      <c r="R1" s="202" t="s">
        <v>169</v>
      </c>
      <c r="S1" s="203"/>
      <c r="T1" s="203"/>
      <c r="U1" s="203"/>
      <c r="V1" s="203"/>
      <c r="W1" s="203"/>
      <c r="X1" s="203"/>
      <c r="Y1" s="204"/>
      <c r="Z1" s="49"/>
    </row>
    <row r="2" spans="1:26" ht="115" customHeight="1" x14ac:dyDescent="0.35">
      <c r="A2" s="125" t="s">
        <v>171</v>
      </c>
      <c r="B2" s="45" t="s">
        <v>12</v>
      </c>
      <c r="C2" s="45" t="s">
        <v>16</v>
      </c>
      <c r="D2" s="45" t="s">
        <v>18</v>
      </c>
      <c r="E2" s="45" t="s">
        <v>24</v>
      </c>
      <c r="F2" s="45" t="s">
        <v>9</v>
      </c>
      <c r="G2" s="45" t="s">
        <v>384</v>
      </c>
      <c r="H2" s="45" t="s">
        <v>62</v>
      </c>
      <c r="I2" s="45" t="s">
        <v>83</v>
      </c>
      <c r="J2" s="45" t="s">
        <v>22</v>
      </c>
      <c r="K2" s="45" t="s">
        <v>54</v>
      </c>
      <c r="L2" s="45" t="s">
        <v>30</v>
      </c>
      <c r="M2" s="45" t="s">
        <v>28</v>
      </c>
      <c r="N2" s="45" t="s">
        <v>49</v>
      </c>
      <c r="O2" s="45" t="s">
        <v>6</v>
      </c>
      <c r="P2" s="45" t="s">
        <v>14</v>
      </c>
      <c r="Q2" s="45" t="s">
        <v>46</v>
      </c>
      <c r="R2" s="44" t="s">
        <v>12</v>
      </c>
      <c r="S2" s="42" t="s">
        <v>173</v>
      </c>
      <c r="T2" s="43" t="s">
        <v>217</v>
      </c>
      <c r="U2" s="43" t="s">
        <v>232</v>
      </c>
      <c r="V2" s="43" t="s">
        <v>218</v>
      </c>
      <c r="W2" s="43" t="s">
        <v>54</v>
      </c>
      <c r="X2" s="43" t="s">
        <v>14</v>
      </c>
      <c r="Y2" s="43" t="s">
        <v>227</v>
      </c>
      <c r="Z2" s="50" t="s">
        <v>302</v>
      </c>
    </row>
    <row r="3" spans="1:26" x14ac:dyDescent="0.35">
      <c r="A3" s="156" t="s">
        <v>463</v>
      </c>
      <c r="B3">
        <f>COUNTIFS('Data - Taxa'!F$3:F$169, "Y", 'Data - Taxa'!$B$3:$B$169, "Algal", 'Data - Taxa'!$AL$3:$AL$169, "Y")</f>
        <v>1</v>
      </c>
      <c r="C3">
        <f>COUNTIFS('Data - Taxa'!F$3:F$169, "Y", 'Data - Taxa'!$B$3:$B$169, "Arboreomorpha", 'Data - Taxa'!$AL$3:$AL$169, "Y")</f>
        <v>0</v>
      </c>
      <c r="D3">
        <f>COUNTIFS('Data - Taxa'!F$3:F$169, "Y", 'Data - Taxa'!$B$3:$B$169, "Bilateralomorpha", 'Data - Taxa'!$AL$3:$AL$169, "Y")</f>
        <v>1</v>
      </c>
      <c r="E3">
        <f>COUNTIFS('Data - Taxa'!F$3:F$169, "Y", 'Data - Taxa'!$B$3:$B$169, "Cnidarian", 'Data - Taxa'!$AL$3:$AL$169, "Y")</f>
        <v>0</v>
      </c>
      <c r="F3">
        <f>COUNTIFS('Data - Taxa'!F$3:F$169, "Y", 'Data - Taxa'!$B$3:$B$169, "Dickinsoniomorpha", 'Data - Taxa'!$AL$3:$AL$169, "Y")</f>
        <v>0</v>
      </c>
      <c r="G3">
        <f>COUNTIFS('Data - Taxa'!F$3:F$169, "Y", 'Data - Taxa'!$B$3:$B$169, "Complex discoidal", 'Data - Taxa'!$AL$3:$AL$169, "Y")</f>
        <v>1</v>
      </c>
      <c r="H3">
        <f>COUNTIFS('Data - Taxa'!F$3:F$169, "Y", 'Data - Taxa'!$B$3:$B$169, "Erniettomorpha", 'Data - Taxa'!$AL$3:$AL$169, "Y")</f>
        <v>0</v>
      </c>
      <c r="I3">
        <f>COUNTIFS('Data - Taxa'!F$3:F$169, "Y", 'Data - Taxa'!$B$3:$B$169, "Kimberellamorpha", 'Data - Taxa'!$AL$3:$AL$169, "Y")</f>
        <v>0</v>
      </c>
      <c r="J3">
        <f>COUNTIFS('Data - Taxa'!F$3:F$169, "Y", 'Data - Taxa'!$B$3:$B$169, "Pentaradialomorpha", 'Data - Taxa'!$AL$3:$AL$169, "Y")</f>
        <v>0</v>
      </c>
      <c r="K3">
        <f>COUNTIFS('Data - Taxa'!F$3:F$169, "Y", 'Data - Taxa'!$B$3:$B$169, "Protist", 'Data - Taxa'!$AL$3:$AL$169, "Y")</f>
        <v>1</v>
      </c>
      <c r="L3">
        <f>COUNTIFS('Data - Taxa'!F$3:F$169, "Y", 'Data - Taxa'!$B$3:$B$169, "Rangeomorpha", 'Data - Taxa'!$AL$3:$AL$169, "Y")</f>
        <v>0</v>
      </c>
      <c r="M3">
        <f>COUNTIFS('Data - Taxa'!F$3:F$169, "Y", 'Data - Taxa'!$B$3:$B$169, "Sponges", 'Data - Taxa'!$AL$3:$AL$169, "Y")</f>
        <v>0</v>
      </c>
      <c r="N3">
        <f>COUNTIFS('Data - Taxa'!F$3:F$169, "Y", 'Data - Taxa'!$B$3:$B$169, "Tetraradialomorpha", 'Data - Taxa'!$AL$3:$AL$169, "Y")</f>
        <v>0</v>
      </c>
      <c r="O3">
        <f>COUNTIFS('Data - Taxa'!F$3:F$169, "Y", 'Data - Taxa'!$B$3:$B$169, "Triradialomorpha", 'Data - Taxa'!$AL$3:$AL$169, "Y")</f>
        <v>0</v>
      </c>
      <c r="P3">
        <f>COUNTIFS('Data - Taxa'!F$3:F$169, "Y", 'Data - Taxa'!$B$3:$B$169, "Tubular", 'Data - Taxa'!$AL$3:$AL$169, "Y")</f>
        <v>2</v>
      </c>
      <c r="Q3">
        <f>COUNTIFS('Data - Taxa'!F$3:F$169, "Y", 'Data - Taxa'!$B$3:$B$169, "Miscellaneous", 'Data - Taxa'!$AL$3:$AL$169, "Y")+1</f>
        <v>1</v>
      </c>
      <c r="R3" s="4">
        <f>COUNTIFS('Data - Taxa'!F$3:F$169, "Y", 'Data - Taxa'!$AS$3:$AS$169, "Y", 'Data - Taxa'!$AL$3:$AL$169, "Y")</f>
        <v>1</v>
      </c>
      <c r="S3">
        <f>COUNTIFS('Data - Taxa'!F$3:F$169, "Y", 'Data - Taxa'!$AT$3:$AT$169, "Y", 'Data - Taxa'!$AL$3:$AL$169, "Y")</f>
        <v>1</v>
      </c>
      <c r="T3">
        <f>COUNTIFS('Data - Taxa'!F$3:F$169, "Y", 'Data - Taxa'!$AU$3:$AU$169, "Y", 'Data - Taxa'!$AL$3:$AL$169, "Y")</f>
        <v>1</v>
      </c>
      <c r="U3">
        <f>COUNTIFS('Data - Taxa'!F$3:F$169, "Y", 'Data - Taxa'!$AV$3:$AV$169, "Y", 'Data - Taxa'!$AL$3:$AL$169, "Y")</f>
        <v>0</v>
      </c>
      <c r="V3">
        <f>COUNTIFS('Data - Taxa'!F$3:F$169, "Y", 'Data - Taxa'!$AW$3:$AW$169, "Y", 'Data - Taxa'!$AL$3:$AL$169, "Y")</f>
        <v>0</v>
      </c>
      <c r="W3">
        <f>COUNTIFS('Data - Taxa'!F$3:F$169, "Y", 'Data - Taxa'!$AX$3:$AX$169, "Y", 'Data - Taxa'!$AL$3:$AL$169, "Y")</f>
        <v>1</v>
      </c>
      <c r="X3">
        <f>COUNTIFS('Data - Taxa'!F$3:F$169, "Y", 'Data - Taxa'!$AY$3:$AY$169, "Y", 'Data - Taxa'!$AL$3:$AL$169, "Y")</f>
        <v>2</v>
      </c>
      <c r="Y3">
        <f>COUNTIFS('Data - Taxa'!F$3:F$169, "Y", 'Data - Taxa'!$AZ$3:$AZ$169, "Y", 'Data - Taxa'!$AL$3:$AL$169, "Y")</f>
        <v>1</v>
      </c>
      <c r="Z3" s="4">
        <f t="shared" ref="Z3:Z18" si="0">SUM(R3:Y3)</f>
        <v>7</v>
      </c>
    </row>
    <row r="4" spans="1:26" x14ac:dyDescent="0.35">
      <c r="A4" s="153" t="s">
        <v>464</v>
      </c>
      <c r="B4">
        <f>COUNTIFS('Data - Taxa'!G$3:G$169, "Y", 'Data - Taxa'!$B$3:$B$169, "Algal", 'Data - Taxa'!$AL$3:$AL$169, "Y")</f>
        <v>2</v>
      </c>
      <c r="C4">
        <f>COUNTIFS('Data - Taxa'!G$3:G$169, "Y", 'Data - Taxa'!$B$3:$B$169, "Arboreomorpha", 'Data - Taxa'!$AL$3:$AL$169, "Y")+1</f>
        <v>2</v>
      </c>
      <c r="D4">
        <f>COUNTIFS('Data - Taxa'!G$3:G$169, "Y", 'Data - Taxa'!$B$3:$B$169, "Bilateralomorpha", 'Data - Taxa'!$AL$3:$AL$169, "Y")</f>
        <v>0</v>
      </c>
      <c r="E4">
        <f>COUNTIFS('Data - Taxa'!G$3:G$169, "Y", 'Data - Taxa'!$B$3:$B$169, "Cnidarian", 'Data - Taxa'!$AL$3:$AL$169, "Y")</f>
        <v>0</v>
      </c>
      <c r="F4">
        <f>COUNTIFS('Data - Taxa'!G$3:G$169, "Y", 'Data - Taxa'!$B$3:$B$169, "Dickinsoniomorpha", 'Data - Taxa'!$AL$3:$AL$169, "Y")</f>
        <v>0</v>
      </c>
      <c r="G4">
        <f>COUNTIFS('Data - Taxa'!G$3:G$169, "Y", 'Data - Taxa'!$B$3:$B$169, "Complex discoidal", 'Data - Taxa'!$AL$3:$AL$169, "Y")</f>
        <v>0</v>
      </c>
      <c r="H4">
        <f>COUNTIFS('Data - Taxa'!G$3:G$169, "Y", 'Data - Taxa'!$B$3:$B$169, "Erniettomorpha", 'Data - Taxa'!$AL$3:$AL$169, "Y")</f>
        <v>0</v>
      </c>
      <c r="I4">
        <f>COUNTIFS('Data - Taxa'!G$3:G$169, "Y", 'Data - Taxa'!$B$3:$B$169, "Kimberellamorpha", 'Data - Taxa'!$AL$3:$AL$169, "Y")</f>
        <v>0</v>
      </c>
      <c r="J4">
        <f>COUNTIFS('Data - Taxa'!G$3:G$169, "Y", 'Data - Taxa'!$B$3:$B$169, "Pentaradialomorpha", 'Data - Taxa'!$AL$3:$AL$169, "Y")</f>
        <v>0</v>
      </c>
      <c r="K4">
        <f>COUNTIFS('Data - Taxa'!G$3:G$169, "Y", 'Data - Taxa'!$B$3:$B$169, "Protist", 'Data - Taxa'!$AL$3:$AL$169, "Y")</f>
        <v>1</v>
      </c>
      <c r="L4">
        <f>COUNTIFS('Data - Taxa'!G$3:G$169, "Y", 'Data - Taxa'!$B$3:$B$169, "Rangeomorpha", 'Data - Taxa'!$AL$3:$AL$169, "Y")</f>
        <v>1</v>
      </c>
      <c r="M4">
        <f>COUNTIFS('Data - Taxa'!G$3:G$169, "Y", 'Data - Taxa'!$B$3:$B$169, "Sponges", 'Data - Taxa'!$AL$3:$AL$169, "Y")</f>
        <v>0</v>
      </c>
      <c r="N4">
        <f>COUNTIFS('Data - Taxa'!G$3:G$169, "Y", 'Data - Taxa'!$B$3:$B$169, "Tetraradialomorpha", 'Data - Taxa'!$AL$3:$AL$169, "Y")</f>
        <v>0</v>
      </c>
      <c r="O4">
        <f>COUNTIFS('Data - Taxa'!G$3:G$169, "Y", 'Data - Taxa'!$B$3:$B$169, "Triradialomorpha", 'Data - Taxa'!$AL$3:$AL$169, "Y")</f>
        <v>0</v>
      </c>
      <c r="P4">
        <f>COUNTIFS('Data - Taxa'!G$3:G$169, "Y", 'Data - Taxa'!$B$3:$B$169, "Tubular", 'Data - Taxa'!$AL$3:$AL$169, "Y")</f>
        <v>4</v>
      </c>
      <c r="Q4">
        <f>COUNTIFS('Data - Taxa'!G$3:G$169, "Y", 'Data - Taxa'!$B$3:$B$169, "Miscellaneous", 'Data - Taxa'!$AL$3:$AL$169, "Y")</f>
        <v>1</v>
      </c>
      <c r="R4" s="4">
        <f>COUNTIFS('Data - Taxa'!G$3:G$169, "Y", 'Data - Taxa'!$AS$3:$AS$169, "Y", 'Data - Taxa'!$AL$3:$AL$169, "Y")</f>
        <v>2</v>
      </c>
      <c r="S4">
        <f>COUNTIFS('Data - Taxa'!G$3:G$169, "Y", 'Data - Taxa'!$AT$3:$AT$169, "Y", 'Data - Taxa'!$AL$3:$AL$169, "Y")</f>
        <v>0</v>
      </c>
      <c r="T4">
        <f>COUNTIFS('Data - Taxa'!G$3:G$169, "Y", 'Data - Taxa'!$AU$3:$AU$169, "Y", 'Data - Taxa'!$AL$3:$AL$169, "Y")</f>
        <v>0</v>
      </c>
      <c r="U4">
        <f>COUNTIFS('Data - Taxa'!G$3:G$169, "Y", 'Data - Taxa'!$AV$3:$AV$169, "Y", 'Data - Taxa'!$AL$3:$AL$169, "Y")</f>
        <v>3</v>
      </c>
      <c r="V4">
        <f>COUNTIFS('Data - Taxa'!G$3:G$169, "Y", 'Data - Taxa'!$AW$3:$AW$169, "Y", 'Data - Taxa'!$AL$3:$AL$169, "Y")</f>
        <v>0</v>
      </c>
      <c r="W4">
        <f>COUNTIFS('Data - Taxa'!G$3:G$169, "Y", 'Data - Taxa'!$AX$3:$AX$169, "Y", 'Data - Taxa'!$AL$3:$AL$169, "Y")</f>
        <v>1</v>
      </c>
      <c r="X4">
        <f>COUNTIFS('Data - Taxa'!G$3:G$169, "Y", 'Data - Taxa'!$AY$3:$AY$169, "Y", 'Data - Taxa'!$AL$3:$AL$169, "Y")</f>
        <v>4</v>
      </c>
      <c r="Y4">
        <f>COUNTIFS('Data - Taxa'!G$3:G$169, "Y", 'Data - Taxa'!$AZ$3:$AZ$169, "Y", 'Data - Taxa'!$AL$3:$AL$169, "Y")</f>
        <v>1</v>
      </c>
      <c r="Z4" s="4">
        <f t="shared" si="0"/>
        <v>11</v>
      </c>
    </row>
    <row r="5" spans="1:26" x14ac:dyDescent="0.35">
      <c r="A5" s="153" t="s">
        <v>469</v>
      </c>
      <c r="B5">
        <f>COUNTIFS('Data - Taxa'!M$3:M$169, "Y", 'Data - Taxa'!$B$3:$B$169, "Algal", 'Data - Taxa'!$AL$3:$AL$169, "Y")</f>
        <v>1</v>
      </c>
      <c r="C5">
        <f>COUNTIFS('Data - Taxa'!M$3:M$169, "Y", 'Data - Taxa'!$B$3:$B$169, "Arboreomorpha", 'Data - Taxa'!$AL$3:$AL$169, "Y")</f>
        <v>0</v>
      </c>
      <c r="D5">
        <f>COUNTIFS('Data - Taxa'!M$3:M$169, "Y", 'Data - Taxa'!$B$3:$B$169, "Bilateralomorpha", 'Data - Taxa'!$AL$3:$AL$169, "Y")</f>
        <v>0</v>
      </c>
      <c r="E5">
        <f>COUNTIFS('Data - Taxa'!M$3:M$169, "Y", 'Data - Taxa'!$B$3:$B$169, "Cnidarian", 'Data - Taxa'!$AL$3:$AL$169, "Y")</f>
        <v>0</v>
      </c>
      <c r="F5">
        <f>COUNTIFS('Data - Taxa'!M$3:M$169, "Y", 'Data - Taxa'!$B$3:$B$169, "Dickinsoniomorpha", 'Data - Taxa'!$AL$3:$AL$169, "Y")</f>
        <v>0</v>
      </c>
      <c r="G5">
        <f>COUNTIFS('Data - Taxa'!M$3:M$169, "Y", 'Data - Taxa'!$B$3:$B$169, "Complex discoidal", 'Data - Taxa'!$AL$3:$AL$169, "Y")</f>
        <v>0</v>
      </c>
      <c r="H5">
        <f>COUNTIFS('Data - Taxa'!M$3:M$169, "Y", 'Data - Taxa'!$B$3:$B$169, "Erniettomorpha", 'Data - Taxa'!$AL$3:$AL$169, "Y")</f>
        <v>1</v>
      </c>
      <c r="I5">
        <f>COUNTIFS('Data - Taxa'!M$3:M$169, "Y", 'Data - Taxa'!$B$3:$B$169, "Kimberellamorpha", 'Data - Taxa'!$AL$3:$AL$169, "Y")</f>
        <v>0</v>
      </c>
      <c r="J5">
        <f>COUNTIFS('Data - Taxa'!M$3:M$169, "Y", 'Data - Taxa'!$B$3:$B$169, "Pentaradialomorpha", 'Data - Taxa'!$AL$3:$AL$169, "Y")</f>
        <v>0</v>
      </c>
      <c r="K5">
        <f>COUNTIFS('Data - Taxa'!M$3:M$169, "Y", 'Data - Taxa'!$B$3:$B$169, "Protist", 'Data - Taxa'!$AL$3:$AL$169, "Y")</f>
        <v>0</v>
      </c>
      <c r="L5">
        <f>COUNTIFS('Data - Taxa'!M$3:M$169, "Y", 'Data - Taxa'!$B$3:$B$169, "Rangeomorpha", 'Data - Taxa'!$AL$3:$AL$169, "Y")</f>
        <v>0</v>
      </c>
      <c r="M5">
        <f>COUNTIFS('Data - Taxa'!M$3:M$169, "Y", 'Data - Taxa'!$B$3:$B$169, "Sponges", 'Data - Taxa'!$AL$3:$AL$169, "Y")</f>
        <v>0</v>
      </c>
      <c r="N5">
        <f>COUNTIFS('Data - Taxa'!M$3:M$169, "Y", 'Data - Taxa'!$B$3:$B$169, "Tetraradialomorpha", 'Data - Taxa'!$AL$3:$AL$169, "Y")</f>
        <v>0</v>
      </c>
      <c r="O5">
        <f>COUNTIFS('Data - Taxa'!M$3:M$169, "Y", 'Data - Taxa'!$B$3:$B$169, "Triradialomorpha", 'Data - Taxa'!$AL$3:$AL$169, "Y")</f>
        <v>1</v>
      </c>
      <c r="P5">
        <f>COUNTIFS('Data - Taxa'!M$3:M$169, "Y", 'Data - Taxa'!$B$3:$B$169, "Tubular", 'Data - Taxa'!$AL$3:$AL$169, "Y")</f>
        <v>2</v>
      </c>
      <c r="Q5">
        <f>COUNTIFS('Data - Taxa'!M$3:M$169, "Y", 'Data - Taxa'!$B$3:$B$169, "Miscellaneous", 'Data - Taxa'!$AL$3:$AL$169, "Y")+1</f>
        <v>1</v>
      </c>
      <c r="R5" s="4">
        <f>COUNTIFS('Data - Taxa'!M$3:M$169, "Y", 'Data - Taxa'!$AS$3:$AS$169, "Y", 'Data - Taxa'!$AL$3:$AL$169, "Y")</f>
        <v>1</v>
      </c>
      <c r="S5">
        <f>COUNTIFS('Data - Taxa'!M$3:M$169, "Y", 'Data - Taxa'!$AT$3:$AT$169, "Y", 'Data - Taxa'!$AL$3:$AL$169, "Y")</f>
        <v>0</v>
      </c>
      <c r="T5">
        <f>COUNTIFS('Data - Taxa'!M$3:M$169, "Y", 'Data - Taxa'!$AU$3:$AU$169, "Y", 'Data - Taxa'!$AL$3:$AL$169, "Y")</f>
        <v>1</v>
      </c>
      <c r="U5">
        <f>COUNTIFS('Data - Taxa'!M$3:M$169, "Y", 'Data - Taxa'!$AV$3:$AV$169, "Y", 'Data - Taxa'!$AL$3:$AL$169, "Y")</f>
        <v>0</v>
      </c>
      <c r="V5">
        <f>COUNTIFS('Data - Taxa'!M$3:M$169, "Y", 'Data - Taxa'!$AW$3:$AW$169, "Y", 'Data - Taxa'!$AL$3:$AL$169, "Y")</f>
        <v>1</v>
      </c>
      <c r="W5">
        <f>COUNTIFS('Data - Taxa'!M$3:M$169, "Y", 'Data - Taxa'!$AX$3:$AX$169, "Y", 'Data - Taxa'!$AL$3:$AL$169, "Y")</f>
        <v>0</v>
      </c>
      <c r="X5">
        <f>COUNTIFS('Data - Taxa'!M$3:M$169, "Y", 'Data - Taxa'!$AY$3:$AY$169, "Y", 'Data - Taxa'!$AL$3:$AL$169, "Y")</f>
        <v>2</v>
      </c>
      <c r="Y5">
        <f>COUNTIFS('Data - Taxa'!M$3:M$169, "Y", 'Data - Taxa'!$AZ$3:$AZ$169, "Y", 'Data - Taxa'!$AL$3:$AL$169, "Y")</f>
        <v>1</v>
      </c>
      <c r="Z5" s="4">
        <f t="shared" si="0"/>
        <v>6</v>
      </c>
    </row>
    <row r="6" spans="1:26" x14ac:dyDescent="0.35">
      <c r="A6" s="153" t="s">
        <v>471</v>
      </c>
      <c r="B6">
        <f>COUNTIFS('Data - Taxa'!O$3:O$169, "Y", 'Data - Taxa'!$B$3:$B$169, "Algal", 'Data - Taxa'!$AL$3:$AL$169, "Y")-1</f>
        <v>0</v>
      </c>
      <c r="C6">
        <f>COUNTIFS('Data - Taxa'!O$3:O$169, "Y", 'Data - Taxa'!$B$3:$B$169, "Arboreomorpha", 'Data - Taxa'!$AL$3:$AL$169, "Y")</f>
        <v>0</v>
      </c>
      <c r="D6">
        <f>COUNTIFS('Data - Taxa'!O$3:O$169, "Y", 'Data - Taxa'!$B$3:$B$169, "Bilateralomorpha", 'Data - Taxa'!$AL$3:$AL$169, "Y")</f>
        <v>1</v>
      </c>
      <c r="E6">
        <f>COUNTIFS('Data - Taxa'!O$3:O$169, "Y", 'Data - Taxa'!$B$3:$B$169, "Cnidarian", 'Data - Taxa'!$AL$3:$AL$169, "Y")</f>
        <v>0</v>
      </c>
      <c r="F6">
        <f>COUNTIFS('Data - Taxa'!O$3:O$169, "Y", 'Data - Taxa'!$B$3:$B$169, "Dickinsoniomorpha", 'Data - Taxa'!$AL$3:$AL$169, "Y")</f>
        <v>0</v>
      </c>
      <c r="G6">
        <f>COUNTIFS('Data - Taxa'!O$3:O$169, "Y", 'Data - Taxa'!$B$3:$B$169, "Complex discoidal", 'Data - Taxa'!$AL$3:$AL$169, "Y")</f>
        <v>0</v>
      </c>
      <c r="H6">
        <f>COUNTIFS('Data - Taxa'!O$3:O$169, "Y", 'Data - Taxa'!$B$3:$B$169, "Erniettomorpha", 'Data - Taxa'!$AL$3:$AL$169, "Y")</f>
        <v>0</v>
      </c>
      <c r="I6">
        <f>COUNTIFS('Data - Taxa'!O$3:O$169, "Y", 'Data - Taxa'!$B$3:$B$169, "Kimberellamorpha", 'Data - Taxa'!$AL$3:$AL$169, "Y")</f>
        <v>0</v>
      </c>
      <c r="J6">
        <f>COUNTIFS('Data - Taxa'!O$3:O$169, "Y", 'Data - Taxa'!$B$3:$B$169, "Pentaradialomorpha", 'Data - Taxa'!$AL$3:$AL$169, "Y")</f>
        <v>0</v>
      </c>
      <c r="K6">
        <f>COUNTIFS('Data - Taxa'!O$3:O$169, "Y", 'Data - Taxa'!$B$3:$B$169, "Protist", 'Data - Taxa'!$AL$3:$AL$169, "Y")</f>
        <v>0</v>
      </c>
      <c r="L6">
        <f>COUNTIFS('Data - Taxa'!O$3:O$169, "Y", 'Data - Taxa'!$B$3:$B$169, "Rangeomorpha", 'Data - Taxa'!$AL$3:$AL$169, "Y")</f>
        <v>0</v>
      </c>
      <c r="M6">
        <f>COUNTIFS('Data - Taxa'!O$3:O$169, "Y", 'Data - Taxa'!$B$3:$B$169, "Sponges", 'Data - Taxa'!$AL$3:$AL$169, "Y")</f>
        <v>0</v>
      </c>
      <c r="N6">
        <f>COUNTIFS('Data - Taxa'!O$3:O$169, "Y", 'Data - Taxa'!$B$3:$B$169, "Tetraradialomorpha", 'Data - Taxa'!$AL$3:$AL$169, "Y")</f>
        <v>0</v>
      </c>
      <c r="O6">
        <f>COUNTIFS('Data - Taxa'!O$3:O$169, "Y", 'Data - Taxa'!$B$3:$B$169, "Triradialomorpha", 'Data - Taxa'!$AL$3:$AL$169, "Y")</f>
        <v>0</v>
      </c>
      <c r="P6">
        <f>COUNTIFS('Data - Taxa'!O$3:O$169, "Y", 'Data - Taxa'!$B$3:$B$169, "Tubular", 'Data - Taxa'!$AL$3:$AL$169, "Y")</f>
        <v>1</v>
      </c>
      <c r="Q6">
        <f>COUNTIFS('Data - Taxa'!O$3:O$169, "Y", 'Data - Taxa'!$B$3:$B$169, "Miscellaneous", 'Data - Taxa'!$AL$3:$AL$169, "Y")</f>
        <v>0</v>
      </c>
      <c r="R6" s="4">
        <f>COUNTIFS('Data - Taxa'!O$3:O$169, "Y", 'Data - Taxa'!$AS$3:$AS$169, "Y", 'Data - Taxa'!$AL$3:$AL$169, "Y")-1</f>
        <v>0</v>
      </c>
      <c r="S6">
        <f>COUNTIFS('Data - Taxa'!O$3:O$169, "Y", 'Data - Taxa'!$AT$3:$AT$169, "Y", 'Data - Taxa'!$AL$3:$AL$169, "Y")</f>
        <v>1</v>
      </c>
      <c r="T6">
        <f>COUNTIFS('Data - Taxa'!O$3:O$169, "Y", 'Data - Taxa'!$AU$3:$AU$169, "Y", 'Data - Taxa'!$AL$3:$AL$169, "Y")</f>
        <v>0</v>
      </c>
      <c r="U6">
        <f>COUNTIFS('Data - Taxa'!O$3:O$169, "Y", 'Data - Taxa'!$AV$3:$AV$169, "Y", 'Data - Taxa'!$AL$3:$AL$169, "Y")</f>
        <v>0</v>
      </c>
      <c r="V6">
        <f>COUNTIFS('Data - Taxa'!O$3:O$169, "Y", 'Data - Taxa'!$AW$3:$AW$169, "Y", 'Data - Taxa'!$AL$3:$AL$169, "Y")</f>
        <v>0</v>
      </c>
      <c r="W6">
        <f>COUNTIFS('Data - Taxa'!O$3:O$169, "Y", 'Data - Taxa'!$AX$3:$AX$169, "Y", 'Data - Taxa'!$AL$3:$AL$169, "Y")</f>
        <v>0</v>
      </c>
      <c r="X6">
        <f>COUNTIFS('Data - Taxa'!O$3:O$169, "Y", 'Data - Taxa'!$AY$3:$AY$169, "Y", 'Data - Taxa'!$AL$3:$AL$169, "Y")</f>
        <v>1</v>
      </c>
      <c r="Y6">
        <f>COUNTIFS('Data - Taxa'!O$3:O$169, "Y", 'Data - Taxa'!$AZ$3:$AZ$169, "Y", 'Data - Taxa'!$AL$3:$AL$169, "Y")</f>
        <v>0</v>
      </c>
      <c r="Z6" s="4">
        <f t="shared" si="0"/>
        <v>2</v>
      </c>
    </row>
    <row r="7" spans="1:26" x14ac:dyDescent="0.35">
      <c r="A7" s="153" t="s">
        <v>472</v>
      </c>
      <c r="B7">
        <f>COUNTIFS('Data - Taxa'!P$3:P$169, "Y", 'Data - Taxa'!$B$3:$B$169, "Algal", 'Data - Taxa'!$AL$3:$AL$169, "Y") - 1</f>
        <v>0</v>
      </c>
      <c r="C7">
        <f>COUNTIFS('Data - Taxa'!P$3:P$169, "Y", 'Data - Taxa'!$B$3:$B$169, "Arboreomorpha", 'Data - Taxa'!$AL$3:$AL$169, "Y") - 1</f>
        <v>0</v>
      </c>
      <c r="D7">
        <f>COUNTIFS('Data - Taxa'!P$3:P$169, "Y", 'Data - Taxa'!$B$3:$B$169, "Bilateralomorpha", 'Data - Taxa'!$AL$3:$AL$169, "Y")</f>
        <v>0</v>
      </c>
      <c r="E7">
        <f>COUNTIFS('Data - Taxa'!P$3:P$169, "Y", 'Data - Taxa'!$B$3:$B$169, "Cnidarian", 'Data - Taxa'!$AL$3:$AL$169, "Y")</f>
        <v>0</v>
      </c>
      <c r="F7">
        <f>COUNTIFS('Data - Taxa'!P$3:P$169, "Y", 'Data - Taxa'!$B$3:$B$169, "Dickinsoniomorpha", 'Data - Taxa'!$AL$3:$AL$169, "Y")</f>
        <v>0</v>
      </c>
      <c r="G7">
        <f>COUNTIFS('Data - Taxa'!P$3:P$169, "Y", 'Data - Taxa'!$B$3:$B$169, "Complex discoidal", 'Data - Taxa'!$AL$3:$AL$169, "Y")</f>
        <v>0</v>
      </c>
      <c r="H7">
        <f>COUNTIFS('Data - Taxa'!P$3:P$169, "Y", 'Data - Taxa'!$B$3:$B$169, "Erniettomorpha", 'Data - Taxa'!$AL$3:$AL$169, "Y")</f>
        <v>0</v>
      </c>
      <c r="I7">
        <f>COUNTIFS('Data - Taxa'!P$3:P$169, "Y", 'Data - Taxa'!$B$3:$B$169, "Kimberellamorpha", 'Data - Taxa'!$AL$3:$AL$169, "Y")</f>
        <v>0</v>
      </c>
      <c r="J7">
        <f>COUNTIFS('Data - Taxa'!P$3:P$169, "Y", 'Data - Taxa'!$B$3:$B$169, "Pentaradialomorpha", 'Data - Taxa'!$AL$3:$AL$169, "Y")</f>
        <v>0</v>
      </c>
      <c r="K7">
        <f>COUNTIFS('Data - Taxa'!P$3:P$169, "Y", 'Data - Taxa'!$B$3:$B$169, "Protist", 'Data - Taxa'!$AL$3:$AL$169, "Y") - 2</f>
        <v>1</v>
      </c>
      <c r="L7">
        <f>COUNTIFS('Data - Taxa'!P$3:P$169, "Y", 'Data - Taxa'!$B$3:$B$169, "Rangeomorpha", 'Data - Taxa'!$AL$3:$AL$169, "Y") - 1</f>
        <v>0</v>
      </c>
      <c r="M7">
        <f>COUNTIFS('Data - Taxa'!P$3:P$169, "Y", 'Data - Taxa'!$B$3:$B$169, "Sponges", 'Data - Taxa'!$AL$3:$AL$169, "Y")</f>
        <v>0</v>
      </c>
      <c r="N7">
        <f>COUNTIFS('Data - Taxa'!P$3:P$169, "Y", 'Data - Taxa'!$B$3:$B$169, "Tetraradialomorpha", 'Data - Taxa'!$AL$3:$AL$169, "Y")</f>
        <v>0</v>
      </c>
      <c r="O7">
        <f>COUNTIFS('Data - Taxa'!P$3:P$169, "Y", 'Data - Taxa'!$B$3:$B$169, "Triradialomorpha", 'Data - Taxa'!$AL$3:$AL$169, "Y")</f>
        <v>0</v>
      </c>
      <c r="P7">
        <f>COUNTIFS('Data - Taxa'!P$3:P$169, "Y", 'Data - Taxa'!$B$3:$B$169, "Tubular", 'Data - Taxa'!$AL$3:$AL$169, "Y")</f>
        <v>0</v>
      </c>
      <c r="Q7">
        <f>COUNTIFS('Data - Taxa'!P$3:P$169, "Y", 'Data - Taxa'!$B$3:$B$169, "Miscellaneous", 'Data - Taxa'!$AL$3:$AL$169, "Y")</f>
        <v>0</v>
      </c>
      <c r="R7" s="4">
        <f>COUNTIFS('Data - Taxa'!P$3:P$169, "Y", 'Data - Taxa'!$AS$3:$AS$169, "Y", 'Data - Taxa'!$AL$3:$AL$169, "Y") - 1</f>
        <v>0</v>
      </c>
      <c r="S7">
        <f>COUNTIFS('Data - Taxa'!P$3:P$169, "Y", 'Data - Taxa'!$AT$3:$AT$169, "Y", 'Data - Taxa'!$AL$3:$AL$169, "Y")</f>
        <v>0</v>
      </c>
      <c r="T7">
        <f>COUNTIFS('Data - Taxa'!P$3:P$169, "Y", 'Data - Taxa'!$AU$3:$AU$169, "Y", 'Data - Taxa'!$AL$3:$AL$169, "Y")</f>
        <v>0</v>
      </c>
      <c r="U7">
        <f>COUNTIFS('Data - Taxa'!P$3:P$169, "Y", 'Data - Taxa'!$AV$3:$AV$169, "Y", 'Data - Taxa'!$AL$3:$AL$169, "Y") - 2</f>
        <v>0</v>
      </c>
      <c r="V7">
        <f>COUNTIFS('Data - Taxa'!P$3:P$169, "Y", 'Data - Taxa'!$AW$3:$AW$169, "Y", 'Data - Taxa'!$AL$3:$AL$169, "Y")</f>
        <v>0</v>
      </c>
      <c r="W7">
        <f>COUNTIFS('Data - Taxa'!P$3:P$169, "Y", 'Data - Taxa'!$AX$3:$AX$169, "Y", 'Data - Taxa'!$AL$3:$AL$169, "Y") - 2</f>
        <v>1</v>
      </c>
      <c r="X7">
        <f>COUNTIFS('Data - Taxa'!P$3:P$169, "Y", 'Data - Taxa'!$AY$3:$AY$169, "Y", 'Data - Taxa'!$AL$3:$AL$169, "Y")</f>
        <v>0</v>
      </c>
      <c r="Y7">
        <f>COUNTIFS('Data - Taxa'!P$3:P$169, "Y", 'Data - Taxa'!$AZ$3:$AZ$169, "Y", 'Data - Taxa'!$AL$3:$AL$169, "Y")</f>
        <v>0</v>
      </c>
      <c r="Z7" s="4">
        <f t="shared" si="0"/>
        <v>1</v>
      </c>
    </row>
    <row r="8" spans="1:26" x14ac:dyDescent="0.35">
      <c r="A8" s="153" t="s">
        <v>489</v>
      </c>
      <c r="B8">
        <f>COUNTIFS('Data - Taxa'!Q$3:Q$169, "Y", 'Data - Taxa'!$B$3:$B$169, "Algal", 'Data - Taxa'!$AL$3:$AL$169, "Y")</f>
        <v>1</v>
      </c>
      <c r="C8">
        <f>COUNTIFS('Data - Taxa'!Q$3:Q$169, "Y", 'Data - Taxa'!$B$3:$B$169, "Arboreomorpha", 'Data - Taxa'!$AL$3:$AL$169, "Y")</f>
        <v>0</v>
      </c>
      <c r="D8">
        <f>COUNTIFS('Data - Taxa'!Q$3:Q$169, "Y", 'Data - Taxa'!$B$3:$B$169, "Bilateralomorpha", 'Data - Taxa'!$AL$3:$AL$169, "Y")</f>
        <v>0</v>
      </c>
      <c r="E8">
        <f>COUNTIFS('Data - Taxa'!Q$3:Q$169, "Y", 'Data - Taxa'!$B$3:$B$169, "Cnidarian", 'Data - Taxa'!$AL$3:$AL$169, "Y")</f>
        <v>0</v>
      </c>
      <c r="F8">
        <f>COUNTIFS('Data - Taxa'!Q$3:Q$169, "Y", 'Data - Taxa'!$B$3:$B$169, "Dickinsoniomorpha", 'Data - Taxa'!$AL$3:$AL$169, "Y")</f>
        <v>0</v>
      </c>
      <c r="G8">
        <f>COUNTIFS('Data - Taxa'!Q$3:Q$169, "Y", 'Data - Taxa'!$B$3:$B$169, "Complex discoidal", 'Data - Taxa'!$AL$3:$AL$169, "Y")</f>
        <v>0</v>
      </c>
      <c r="H8">
        <f>COUNTIFS('Data - Taxa'!Q$3:Q$169, "Y", 'Data - Taxa'!$B$3:$B$169, "Erniettomorpha", 'Data - Taxa'!$AL$3:$AL$169, "Y")</f>
        <v>1</v>
      </c>
      <c r="I8">
        <f>COUNTIFS('Data - Taxa'!Q$3:Q$169, "Y", 'Data - Taxa'!$B$3:$B$169, "Kimberellamorpha", 'Data - Taxa'!$AL$3:$AL$169, "Y")</f>
        <v>0</v>
      </c>
      <c r="J8">
        <f>COUNTIFS('Data - Taxa'!Q$3:Q$169, "Y", 'Data - Taxa'!$B$3:$B$169, "Pentaradialomorpha", 'Data - Taxa'!$AL$3:$AL$169, "Y")</f>
        <v>0</v>
      </c>
      <c r="K8">
        <f>COUNTIFS('Data - Taxa'!Q$3:Q$169, "Y", 'Data - Taxa'!$B$3:$B$169, "Protist", 'Data - Taxa'!$AL$3:$AL$169, "Y")</f>
        <v>0</v>
      </c>
      <c r="L8">
        <f>COUNTIFS('Data - Taxa'!Q$3:Q$169, "Y", 'Data - Taxa'!$B$3:$B$169, "Rangeomorpha", 'Data - Taxa'!$AL$3:$AL$169, "Y")</f>
        <v>0</v>
      </c>
      <c r="M8">
        <f>COUNTIFS('Data - Taxa'!Q$3:Q$169, "Y", 'Data - Taxa'!$B$3:$B$169, "Sponges", 'Data - Taxa'!$AL$3:$AL$169, "Y")</f>
        <v>0</v>
      </c>
      <c r="N8">
        <f>COUNTIFS('Data - Taxa'!Q$3:Q$169, "Y", 'Data - Taxa'!$B$3:$B$169, "Tetraradialomorpha", 'Data - Taxa'!$AL$3:$AL$169, "Y")</f>
        <v>0</v>
      </c>
      <c r="O8">
        <f>COUNTIFS('Data - Taxa'!Q$3:Q$169, "Y", 'Data - Taxa'!$B$3:$B$169, "Triradialomorpha", 'Data - Taxa'!$AL$3:$AL$169, "Y")</f>
        <v>0</v>
      </c>
      <c r="P8">
        <f>COUNTIFS('Data - Taxa'!Q$3:Q$169, "Y", 'Data - Taxa'!$B$3:$B$169, "Tubular", 'Data - Taxa'!$AL$3:$AL$169, "Y")</f>
        <v>6</v>
      </c>
      <c r="Q8">
        <f>COUNTIFS('Data - Taxa'!Q$3:Q$169, "Y", 'Data - Taxa'!$B$3:$B$169, "Miscellaneous", 'Data - Taxa'!$AL$3:$AL$169, "Y")</f>
        <v>0</v>
      </c>
      <c r="R8" s="4">
        <f>COUNTIFS('Data - Taxa'!Q$3:Q$169, "Y", 'Data - Taxa'!$AS$3:$AS$169, "Y", 'Data - Taxa'!$AL$3:$AL$169, "Y")</f>
        <v>1</v>
      </c>
      <c r="S8">
        <f>COUNTIFS('Data - Taxa'!Q$3:Q$169, "Y", 'Data - Taxa'!$AT$3:$AT$169, "Y", 'Data - Taxa'!$AL$3:$AL$169, "Y")</f>
        <v>0</v>
      </c>
      <c r="T8">
        <f>COUNTIFS('Data - Taxa'!Q$3:Q$169, "Y", 'Data - Taxa'!$AU$3:$AU$169, "Y", 'Data - Taxa'!$AL$3:$AL$169, "Y")</f>
        <v>0</v>
      </c>
      <c r="U8">
        <f>COUNTIFS('Data - Taxa'!Q$3:Q$169, "Y", 'Data - Taxa'!$AV$3:$AV$169, "Y", 'Data - Taxa'!$AL$3:$AL$169, "Y")</f>
        <v>0</v>
      </c>
      <c r="V8">
        <f>COUNTIFS('Data - Taxa'!Q$3:Q$169, "Y", 'Data - Taxa'!$AW$3:$AW$169, "Y", 'Data - Taxa'!$AL$3:$AL$169, "Y")</f>
        <v>1</v>
      </c>
      <c r="W8">
        <f>COUNTIFS('Data - Taxa'!Q$3:Q$169, "Y", 'Data - Taxa'!$AX$3:$AX$169, "Y", 'Data - Taxa'!$AL$3:$AL$169, "Y")</f>
        <v>0</v>
      </c>
      <c r="X8">
        <f>COUNTIFS('Data - Taxa'!Q$3:Q$169, "Y", 'Data - Taxa'!$AY$3:$AY$169, "Y", 'Data - Taxa'!$AL$3:$AL$169, "Y")</f>
        <v>6</v>
      </c>
      <c r="Y8">
        <f>COUNTIFS('Data - Taxa'!Q$3:Q$169, "Y", 'Data - Taxa'!$AZ$3:$AZ$169, "Y", 'Data - Taxa'!$AL$3:$AL$169, "Y")</f>
        <v>0</v>
      </c>
      <c r="Z8" s="4">
        <f t="shared" si="0"/>
        <v>8</v>
      </c>
    </row>
    <row r="9" spans="1:26" x14ac:dyDescent="0.35">
      <c r="A9" s="153" t="s">
        <v>473</v>
      </c>
      <c r="B9">
        <f>COUNTIFS('Data - Taxa'!R$3:R$169, "Y", 'Data - Taxa'!$B$3:$B$169, "Algal", 'Data - Taxa'!$AL$3:$AL$169, "Y")</f>
        <v>0</v>
      </c>
      <c r="C9">
        <f>COUNTIFS('Data - Taxa'!R$3:R$169, "Y", 'Data - Taxa'!$B$3:$B$169, "Arboreomorpha", 'Data - Taxa'!$AL$3:$AL$169, "Y")</f>
        <v>0</v>
      </c>
      <c r="D9">
        <f>COUNTIFS('Data - Taxa'!R$3:R$169, "Y", 'Data - Taxa'!$B$3:$B$169, "Bilateralomorpha", 'Data - Taxa'!$AL$3:$AL$169, "Y")</f>
        <v>0</v>
      </c>
      <c r="E9">
        <f>COUNTIFS('Data - Taxa'!R$3:R$169, "Y", 'Data - Taxa'!$B$3:$B$169, "Cnidarian", 'Data - Taxa'!$AL$3:$AL$169, "Y")</f>
        <v>0</v>
      </c>
      <c r="F9">
        <f>COUNTIFS('Data - Taxa'!R$3:R$169, "Y", 'Data - Taxa'!$B$3:$B$169, "Dickinsoniomorpha", 'Data - Taxa'!$AL$3:$AL$169, "Y")</f>
        <v>0</v>
      </c>
      <c r="G9">
        <f>COUNTIFS('Data - Taxa'!R$3:R$169, "Y", 'Data - Taxa'!$B$3:$B$169, "Complex discoidal", 'Data - Taxa'!$AL$3:$AL$169, "Y")</f>
        <v>2</v>
      </c>
      <c r="H9">
        <f>COUNTIFS('Data - Taxa'!R$3:R$169, "Y", 'Data - Taxa'!$B$3:$B$169, "Erniettomorpha", 'Data - Taxa'!$AL$3:$AL$169, "Y")</f>
        <v>0</v>
      </c>
      <c r="I9">
        <f>COUNTIFS('Data - Taxa'!R$3:R$169, "Y", 'Data - Taxa'!$B$3:$B$169, "Kimberellamorpha", 'Data - Taxa'!$AL$3:$AL$169, "Y")</f>
        <v>1</v>
      </c>
      <c r="J9">
        <f>COUNTIFS('Data - Taxa'!R$3:R$169, "Y", 'Data - Taxa'!$B$3:$B$169, "Pentaradialomorpha", 'Data - Taxa'!$AL$3:$AL$169, "Y")</f>
        <v>0</v>
      </c>
      <c r="K9">
        <f>COUNTIFS('Data - Taxa'!R$3:R$169, "Y", 'Data - Taxa'!$B$3:$B$169, "Protist", 'Data - Taxa'!$AL$3:$AL$169, "Y")</f>
        <v>0</v>
      </c>
      <c r="L9">
        <f>COUNTIFS('Data - Taxa'!R$3:R$169, "Y", 'Data - Taxa'!$B$3:$B$169, "Rangeomorpha", 'Data - Taxa'!$AL$3:$AL$169, "Y")</f>
        <v>0</v>
      </c>
      <c r="M9">
        <f>COUNTIFS('Data - Taxa'!R$3:R$169, "Y", 'Data - Taxa'!$B$3:$B$169, "Sponges", 'Data - Taxa'!$AL$3:$AL$169, "Y")</f>
        <v>0</v>
      </c>
      <c r="N9">
        <f>COUNTIFS('Data - Taxa'!R$3:R$169, "Y", 'Data - Taxa'!$B$3:$B$169, "Tetraradialomorpha", 'Data - Taxa'!$AL$3:$AL$169, "Y")</f>
        <v>0</v>
      </c>
      <c r="O9">
        <f>COUNTIFS('Data - Taxa'!R$3:R$169, "Y", 'Data - Taxa'!$B$3:$B$169, "Triradialomorpha", 'Data - Taxa'!$AL$3:$AL$169, "Y")</f>
        <v>1</v>
      </c>
      <c r="P9">
        <f>COUNTIFS('Data - Taxa'!R$3:R$169, "Y", 'Data - Taxa'!$B$3:$B$169, "Tubular", 'Data - Taxa'!$AL$3:$AL$169, "Y")</f>
        <v>3</v>
      </c>
      <c r="Q9">
        <f>COUNTIFS('Data - Taxa'!R$3:R$169, "Y", 'Data - Taxa'!$B$3:$B$169, "Miscellaneous", 'Data - Taxa'!$AL$3:$AL$169, "Y")</f>
        <v>1</v>
      </c>
      <c r="R9" s="4">
        <f>COUNTIFS('Data - Taxa'!R$3:R$169, "Y", 'Data - Taxa'!$AS$3:$AS$169, "Y", 'Data - Taxa'!$AL$3:$AL$169, "Y")</f>
        <v>0</v>
      </c>
      <c r="S9">
        <f>COUNTIFS('Data - Taxa'!R$3:R$169, "Y", 'Data - Taxa'!$AT$3:$AT$169, "Y", 'Data - Taxa'!$AL$3:$AL$169, "Y")</f>
        <v>1</v>
      </c>
      <c r="T9">
        <f>COUNTIFS('Data - Taxa'!R$3:R$169, "Y", 'Data - Taxa'!$AU$3:$AU$169, "Y", 'Data - Taxa'!$AL$3:$AL$169, "Y")</f>
        <v>3</v>
      </c>
      <c r="U9">
        <f>COUNTIFS('Data - Taxa'!R$3:R$169, "Y", 'Data - Taxa'!$AV$3:$AV$169, "Y", 'Data - Taxa'!$AL$3:$AL$169, "Y")</f>
        <v>0</v>
      </c>
      <c r="V9">
        <f>COUNTIFS('Data - Taxa'!R$3:R$169, "Y", 'Data - Taxa'!$AW$3:$AW$169, "Y", 'Data - Taxa'!$AL$3:$AL$169, "Y")</f>
        <v>0</v>
      </c>
      <c r="W9">
        <f>COUNTIFS('Data - Taxa'!R$3:R$169, "Y", 'Data - Taxa'!$AX$3:$AX$169, "Y", 'Data - Taxa'!$AL$3:$AL$169, "Y")</f>
        <v>0</v>
      </c>
      <c r="X9">
        <f>COUNTIFS('Data - Taxa'!R$3:R$169, "Y", 'Data - Taxa'!$AY$3:$AY$169, "Y", 'Data - Taxa'!$AL$3:$AL$169, "Y")</f>
        <v>3</v>
      </c>
      <c r="Y9">
        <f>COUNTIFS('Data - Taxa'!R$3:R$169, "Y", 'Data - Taxa'!$AZ$3:$AZ$169, "Y", 'Data - Taxa'!$AL$3:$AL$169, "Y")</f>
        <v>1</v>
      </c>
      <c r="Z9" s="4">
        <f t="shared" si="0"/>
        <v>8</v>
      </c>
    </row>
    <row r="10" spans="1:26" x14ac:dyDescent="0.35">
      <c r="A10" s="153" t="s">
        <v>476</v>
      </c>
      <c r="B10">
        <f>COUNTIFS('Data - Taxa'!U$3:U$169, "Y", 'Data - Taxa'!$B$3:$B$169, "Algal", 'Data - Taxa'!$AL$3:$AL$169, "Y")</f>
        <v>1</v>
      </c>
      <c r="C10">
        <f>COUNTIFS('Data - Taxa'!U$3:U$169, "Y", 'Data - Taxa'!$B$3:$B$169, "Arboreomorpha", 'Data - Taxa'!$AL$3:$AL$169, "Y")</f>
        <v>1</v>
      </c>
      <c r="D10">
        <f>COUNTIFS('Data - Taxa'!U$3:U$169, "Y", 'Data - Taxa'!$B$3:$B$169, "Bilateralomorpha", 'Data - Taxa'!$AL$3:$AL$169, "Y")</f>
        <v>1</v>
      </c>
      <c r="E10">
        <f>COUNTIFS('Data - Taxa'!U$3:U$169, "Y", 'Data - Taxa'!$B$3:$B$169, "Cnidarian", 'Data - Taxa'!$AL$3:$AL$169, "Y")</f>
        <v>0</v>
      </c>
      <c r="F10">
        <f>COUNTIFS('Data - Taxa'!U$3:U$169, "Y", 'Data - Taxa'!$B$3:$B$169, "Dickinsoniomorpha", 'Data - Taxa'!$AL$3:$AL$169, "Y")</f>
        <v>1</v>
      </c>
      <c r="G10">
        <f>COUNTIFS('Data - Taxa'!U$3:U$169, "Y", 'Data - Taxa'!$B$3:$B$169, "Complex discoidal", 'Data - Taxa'!$AL$3:$AL$169, "Y")</f>
        <v>0</v>
      </c>
      <c r="H10">
        <f>COUNTIFS('Data - Taxa'!U$3:U$169, "Y", 'Data - Taxa'!$B$3:$B$169, "Erniettomorpha", 'Data - Taxa'!$AL$3:$AL$169, "Y")</f>
        <v>1</v>
      </c>
      <c r="I10">
        <f>COUNTIFS('Data - Taxa'!U$3:U$169, "Y", 'Data - Taxa'!$B$3:$B$169, "Kimberellamorpha", 'Data - Taxa'!$AL$3:$AL$169, "Y")</f>
        <v>0</v>
      </c>
      <c r="J10">
        <f>COUNTIFS('Data - Taxa'!U$3:U$169, "Y", 'Data - Taxa'!$B$3:$B$169, "Pentaradialomorpha", 'Data - Taxa'!$AL$3:$AL$169, "Y")</f>
        <v>0</v>
      </c>
      <c r="K10">
        <f>COUNTIFS('Data - Taxa'!U$3:U$169, "Y", 'Data - Taxa'!$B$3:$B$169, "Protist", 'Data - Taxa'!$AL$3:$AL$169, "Y")</f>
        <v>1</v>
      </c>
      <c r="L10">
        <f>COUNTIFS('Data - Taxa'!U$3:U$169, "Y", 'Data - Taxa'!$B$3:$B$169, "Rangeomorpha", 'Data - Taxa'!$AL$3:$AL$169, "Y")</f>
        <v>3</v>
      </c>
      <c r="M10">
        <f>COUNTIFS('Data - Taxa'!U$3:U$169, "Y", 'Data - Taxa'!$B$3:$B$169, "Sponges", 'Data - Taxa'!$AL$3:$AL$169, "Y")</f>
        <v>0</v>
      </c>
      <c r="N10">
        <f>COUNTIFS('Data - Taxa'!U$3:U$169, "Y", 'Data - Taxa'!$B$3:$B$169, "Tetraradialomorpha", 'Data - Taxa'!$AL$3:$AL$169, "Y")</f>
        <v>0</v>
      </c>
      <c r="O10">
        <f>COUNTIFS('Data - Taxa'!U$3:U$169, "Y", 'Data - Taxa'!$B$3:$B$169, "Triradialomorpha", 'Data - Taxa'!$AL$3:$AL$169, "Y")</f>
        <v>0</v>
      </c>
      <c r="P10">
        <f>COUNTIFS('Data - Taxa'!U$3:U$169, "Y", 'Data - Taxa'!$B$3:$B$169, "Tubular", 'Data - Taxa'!$AL$3:$AL$169, "Y")</f>
        <v>2</v>
      </c>
      <c r="Q10">
        <f>COUNTIFS('Data - Taxa'!U$3:U$169, "Y", 'Data - Taxa'!$B$3:$B$169, "Miscellaneous", 'Data - Taxa'!$AL$3:$AL$169, "Y")</f>
        <v>1</v>
      </c>
      <c r="R10" s="4">
        <f>COUNTIFS('Data - Taxa'!U$3:U$169, "Y", 'Data - Taxa'!$AS$3:$AS$169, "Y", 'Data - Taxa'!$AL$3:$AL$169, "Y")</f>
        <v>1</v>
      </c>
      <c r="S10">
        <f>COUNTIFS('Data - Taxa'!U$3:U$169, "Y", 'Data - Taxa'!$AT$3:$AT$169, "Y", 'Data - Taxa'!$AL$3:$AL$169, "Y")</f>
        <v>2</v>
      </c>
      <c r="T10">
        <f>COUNTIFS('Data - Taxa'!U$3:U$169, "Y", 'Data - Taxa'!$AU$3:$AU$169, "Y", 'Data - Taxa'!$AL$3:$AL$169, "Y")</f>
        <v>0</v>
      </c>
      <c r="U10">
        <f>COUNTIFS('Data - Taxa'!U$3:U$169, "Y", 'Data - Taxa'!$AV$3:$AV$169, "Y", 'Data - Taxa'!$AL$3:$AL$169, "Y")</f>
        <v>4</v>
      </c>
      <c r="V10">
        <f>COUNTIFS('Data - Taxa'!U$3:U$169, "Y", 'Data - Taxa'!$AW$3:$AW$169, "Y", 'Data - Taxa'!$AL$3:$AL$169, "Y")</f>
        <v>1</v>
      </c>
      <c r="W10">
        <f>COUNTIFS('Data - Taxa'!U$3:U$169, "Y", 'Data - Taxa'!$AX$3:$AX$169, "Y", 'Data - Taxa'!$AL$3:$AL$169, "Y")</f>
        <v>1</v>
      </c>
      <c r="X10">
        <f>COUNTIFS('Data - Taxa'!U$3:U$169, "Y", 'Data - Taxa'!$AY$3:$AY$169, "Y", 'Data - Taxa'!$AL$3:$AL$169, "Y")</f>
        <v>2</v>
      </c>
      <c r="Y10">
        <f>COUNTIFS('Data - Taxa'!U$3:U$169, "Y", 'Data - Taxa'!$AZ$3:$AZ$169, "Y", 'Data - Taxa'!$AL$3:$AL$169, "Y")</f>
        <v>1</v>
      </c>
      <c r="Z10" s="4">
        <f t="shared" si="0"/>
        <v>12</v>
      </c>
    </row>
    <row r="11" spans="1:26" x14ac:dyDescent="0.35">
      <c r="A11" s="153" t="s">
        <v>477</v>
      </c>
      <c r="B11">
        <f>COUNTIFS('Data - Taxa'!V$3:V$169, "Y", 'Data - Taxa'!$B$3:$B$169, "Algal", 'Data - Taxa'!$AL$3:$AL$169, "Y")</f>
        <v>0</v>
      </c>
      <c r="C11">
        <f>COUNTIFS('Data - Taxa'!V$3:V$169, "Y", 'Data - Taxa'!$B$3:$B$169, "Arboreomorpha", 'Data - Taxa'!$AL$3:$AL$169, "Y")</f>
        <v>0</v>
      </c>
      <c r="D11">
        <f>COUNTIFS('Data - Taxa'!V$3:V$169, "Y", 'Data - Taxa'!$B$3:$B$169, "Bilateralomorpha", 'Data - Taxa'!$AL$3:$AL$169, "Y")</f>
        <v>0</v>
      </c>
      <c r="E11">
        <f>COUNTIFS('Data - Taxa'!V$3:V$169, "Y", 'Data - Taxa'!$B$3:$B$169, "Cnidarian", 'Data - Taxa'!$AL$3:$AL$169, "Y")</f>
        <v>0</v>
      </c>
      <c r="F11">
        <f>COUNTIFS('Data - Taxa'!V$3:V$169, "Y", 'Data - Taxa'!$B$3:$B$169, "Dickinsoniomorpha", 'Data - Taxa'!$AL$3:$AL$169, "Y")</f>
        <v>0</v>
      </c>
      <c r="G11">
        <f>COUNTIFS('Data - Taxa'!V$3:V$169, "Y", 'Data - Taxa'!$B$3:$B$169, "Complex discoidal", 'Data - Taxa'!$AL$3:$AL$169, "Y")</f>
        <v>0</v>
      </c>
      <c r="H11">
        <f>COUNTIFS('Data - Taxa'!V$3:V$169, "Y", 'Data - Taxa'!$B$3:$B$169, "Erniettomorpha", 'Data - Taxa'!$AL$3:$AL$169, "Y")</f>
        <v>0</v>
      </c>
      <c r="I11">
        <f>COUNTIFS('Data - Taxa'!V$3:V$169, "Y", 'Data - Taxa'!$B$3:$B$169, "Kimberellamorpha", 'Data - Taxa'!$AL$3:$AL$169, "Y")</f>
        <v>0</v>
      </c>
      <c r="J11">
        <f>COUNTIFS('Data - Taxa'!V$3:V$169, "Y", 'Data - Taxa'!$B$3:$B$169, "Pentaradialomorpha", 'Data - Taxa'!$AL$3:$AL$169, "Y")</f>
        <v>0</v>
      </c>
      <c r="K11">
        <f>COUNTIFS('Data - Taxa'!V$3:V$169, "Y", 'Data - Taxa'!$B$3:$B$169, "Protist", 'Data - Taxa'!$AL$3:$AL$169, "Y")</f>
        <v>0</v>
      </c>
      <c r="L11">
        <f>COUNTIFS('Data - Taxa'!V$3:V$169, "Y", 'Data - Taxa'!$B$3:$B$169, "Rangeomorpha", 'Data - Taxa'!$AL$3:$AL$169, "Y")</f>
        <v>0</v>
      </c>
      <c r="M11">
        <f>COUNTIFS('Data - Taxa'!V$3:V$169, "Y", 'Data - Taxa'!$B$3:$B$169, "Sponges", 'Data - Taxa'!$AL$3:$AL$169, "Y")</f>
        <v>0</v>
      </c>
      <c r="N11">
        <f>COUNTIFS('Data - Taxa'!V$3:V$169, "Y", 'Data - Taxa'!$B$3:$B$169, "Tetraradialomorpha", 'Data - Taxa'!$AL$3:$AL$169, "Y")</f>
        <v>0</v>
      </c>
      <c r="O11">
        <f>COUNTIFS('Data - Taxa'!V$3:V$169, "Y", 'Data - Taxa'!$B$3:$B$169, "Triradialomorpha", 'Data - Taxa'!$AL$3:$AL$169, "Y")</f>
        <v>0</v>
      </c>
      <c r="P11">
        <f>COUNTIFS('Data - Taxa'!V$3:V$169, "Y", 'Data - Taxa'!$B$3:$B$169, "Tubular", 'Data - Taxa'!$AL$3:$AL$169, "Y")</f>
        <v>6</v>
      </c>
      <c r="Q11">
        <f>COUNTIFS('Data - Taxa'!V$3:V$169, "Y", 'Data - Taxa'!$B$3:$B$169, "Miscellaneous", 'Data - Taxa'!$AL$3:$AL$169, "Y")</f>
        <v>0</v>
      </c>
      <c r="R11" s="4">
        <f>COUNTIFS('Data - Taxa'!V$3:V$169, "Y", 'Data - Taxa'!$AS$3:$AS$169, "Y", 'Data - Taxa'!$AL$3:$AL$169, "Y")</f>
        <v>0</v>
      </c>
      <c r="S11">
        <f>COUNTIFS('Data - Taxa'!V$3:V$169, "Y", 'Data - Taxa'!$AT$3:$AT$169, "Y", 'Data - Taxa'!$AL$3:$AL$169, "Y")</f>
        <v>0</v>
      </c>
      <c r="T11">
        <f>COUNTIFS('Data - Taxa'!V$3:V$169, "Y", 'Data - Taxa'!$AU$3:$AU$169, "Y", 'Data - Taxa'!$AL$3:$AL$169, "Y")</f>
        <v>0</v>
      </c>
      <c r="U11">
        <f>COUNTIFS('Data - Taxa'!V$3:V$169, "Y", 'Data - Taxa'!$AV$3:$AV$169, "Y", 'Data - Taxa'!$AL$3:$AL$169, "Y")</f>
        <v>0</v>
      </c>
      <c r="V11">
        <f>COUNTIFS('Data - Taxa'!V$3:V$169, "Y", 'Data - Taxa'!$AW$3:$AW$169, "Y", 'Data - Taxa'!$AL$3:$AL$169, "Y")</f>
        <v>0</v>
      </c>
      <c r="W11">
        <f>COUNTIFS('Data - Taxa'!V$3:V$169, "Y", 'Data - Taxa'!$AX$3:$AX$169, "Y", 'Data - Taxa'!$AL$3:$AL$169, "Y")</f>
        <v>0</v>
      </c>
      <c r="X11">
        <f>COUNTIFS('Data - Taxa'!V$3:V$169, "Y", 'Data - Taxa'!$AY$3:$AY$169, "Y", 'Data - Taxa'!$AL$3:$AL$169, "Y")</f>
        <v>6</v>
      </c>
      <c r="Y11">
        <f>COUNTIFS('Data - Taxa'!V$3:V$169, "Y", 'Data - Taxa'!$AZ$3:$AZ$169, "Y", 'Data - Taxa'!$AL$3:$AL$169, "Y")</f>
        <v>0</v>
      </c>
      <c r="Z11" s="4">
        <f t="shared" si="0"/>
        <v>6</v>
      </c>
    </row>
    <row r="12" spans="1:26" x14ac:dyDescent="0.35">
      <c r="A12" s="153" t="s">
        <v>478</v>
      </c>
      <c r="B12">
        <f>COUNTIFS('Data - Taxa'!W$3:W$169, "Y", 'Data - Taxa'!$B$3:$B$169, "Algal", 'Data - Taxa'!$AL$3:$AL$169, "Y")</f>
        <v>1</v>
      </c>
      <c r="C12">
        <f>COUNTIFS('Data - Taxa'!W$3:W$169, "Y", 'Data - Taxa'!$B$3:$B$169, "Arboreomorpha", 'Data - Taxa'!$AL$3:$AL$169, "Y")</f>
        <v>0</v>
      </c>
      <c r="D12">
        <f>COUNTIFS('Data - Taxa'!W$3:W$169, "Y", 'Data - Taxa'!$B$3:$B$169, "Bilateralomorpha", 'Data - Taxa'!$AL$3:$AL$169, "Y")</f>
        <v>1</v>
      </c>
      <c r="E12">
        <f>COUNTIFS('Data - Taxa'!W$3:W$169, "Y", 'Data - Taxa'!$B$3:$B$169, "Cnidarian", 'Data - Taxa'!$AL$3:$AL$169, "Y")</f>
        <v>1</v>
      </c>
      <c r="F12">
        <f>COUNTIFS('Data - Taxa'!W$3:W$169, "Y", 'Data - Taxa'!$B$3:$B$169, "Dickinsoniomorpha", 'Data - Taxa'!$AL$3:$AL$169, "Y")</f>
        <v>0</v>
      </c>
      <c r="G12">
        <f>COUNTIFS('Data - Taxa'!W$3:W$169, "Y", 'Data - Taxa'!$B$3:$B$169, "Complex discoidal", 'Data - Taxa'!$AL$3:$AL$169, "Y")</f>
        <v>1</v>
      </c>
      <c r="H12">
        <f>COUNTIFS('Data - Taxa'!W$3:W$169, "Y", 'Data - Taxa'!$B$3:$B$169, "Erniettomorpha", 'Data - Taxa'!$AL$3:$AL$169, "Y")</f>
        <v>4</v>
      </c>
      <c r="I12">
        <f>COUNTIFS('Data - Taxa'!W$3:W$169, "Y", 'Data - Taxa'!$B$3:$B$169, "Kimberellamorpha", 'Data - Taxa'!$AL$3:$AL$169, "Y")</f>
        <v>0</v>
      </c>
      <c r="J12">
        <f>COUNTIFS('Data - Taxa'!W$3:W$169, "Y", 'Data - Taxa'!$B$3:$B$169, "Pentaradialomorpha", 'Data - Taxa'!$AL$3:$AL$169, "Y")</f>
        <v>0</v>
      </c>
      <c r="K12">
        <f>COUNTIFS('Data - Taxa'!W$3:W$169, "Y", 'Data - Taxa'!$B$3:$B$169, "Protist", 'Data - Taxa'!$AL$3:$AL$169, "Y")</f>
        <v>1</v>
      </c>
      <c r="L12">
        <f>COUNTIFS('Data - Taxa'!W$3:W$169, "Y", 'Data - Taxa'!$B$3:$B$169, "Rangeomorpha", 'Data - Taxa'!$AL$3:$AL$169, "Y")</f>
        <v>1</v>
      </c>
      <c r="M12">
        <f>COUNTIFS('Data - Taxa'!W$3:W$169, "Y", 'Data - Taxa'!$B$3:$B$169, "Sponges", 'Data - Taxa'!$AL$3:$AL$169, "Y")</f>
        <v>0</v>
      </c>
      <c r="N12">
        <f>COUNTIFS('Data - Taxa'!W$3:W$169, "Y", 'Data - Taxa'!$B$3:$B$169, "Tetraradialomorpha", 'Data - Taxa'!$AL$3:$AL$169, "Y")</f>
        <v>0</v>
      </c>
      <c r="O12">
        <f>COUNTIFS('Data - Taxa'!W$3:W$169, "Y", 'Data - Taxa'!$B$3:$B$169, "Triradialomorpha", 'Data - Taxa'!$AL$3:$AL$169, "Y")</f>
        <v>0</v>
      </c>
      <c r="P12">
        <f>COUNTIFS('Data - Taxa'!W$3:W$169, "Y", 'Data - Taxa'!$B$3:$B$169, "Tubular", 'Data - Taxa'!$AL$3:$AL$169, "Y")</f>
        <v>3</v>
      </c>
      <c r="Q12">
        <f>COUNTIFS('Data - Taxa'!W$3:W$169, "Y", 'Data - Taxa'!$B$3:$B$169, "Miscellaneous", 'Data - Taxa'!$AL$3:$AL$169, "Y")+1</f>
        <v>5</v>
      </c>
      <c r="R12" s="4">
        <f>COUNTIFS('Data - Taxa'!W$3:W$169, "Y", 'Data - Taxa'!$AS$3:$AS$169, "Y", 'Data - Taxa'!$AL$3:$AL$169, "Y")</f>
        <v>1</v>
      </c>
      <c r="S12">
        <f>COUNTIFS('Data - Taxa'!W$3:W$169, "Y", 'Data - Taxa'!$AT$3:$AT$169, "Y", 'Data - Taxa'!$AL$3:$AL$169, "Y")</f>
        <v>1</v>
      </c>
      <c r="T12">
        <f>COUNTIFS('Data - Taxa'!W$3:W$169, "Y", 'Data - Taxa'!$AU$3:$AU$169, "Y", 'Data - Taxa'!$AL$3:$AL$169, "Y")</f>
        <v>1</v>
      </c>
      <c r="U12">
        <f>COUNTIFS('Data - Taxa'!W$3:W$169, "Y", 'Data - Taxa'!$AV$3:$AV$169, "Y", 'Data - Taxa'!$AL$3:$AL$169, "Y")</f>
        <v>1</v>
      </c>
      <c r="V12">
        <f>COUNTIFS('Data - Taxa'!W$3:W$169, "Y", 'Data - Taxa'!$AW$3:$AW$169, "Y", 'Data - Taxa'!$AL$3:$AL$169, "Y")</f>
        <v>4</v>
      </c>
      <c r="W12">
        <f>COUNTIFS('Data - Taxa'!W$3:W$169, "Y", 'Data - Taxa'!$AX$3:$AX$169, "Y", 'Data - Taxa'!$AL$3:$AL$169, "Y")</f>
        <v>1</v>
      </c>
      <c r="X12">
        <f>COUNTIFS('Data - Taxa'!W$3:W$169, "Y", 'Data - Taxa'!$AY$3:$AY$169, "Y", 'Data - Taxa'!$AL$3:$AL$169, "Y")</f>
        <v>3</v>
      </c>
      <c r="Y12">
        <f>COUNTIFS('Data - Taxa'!W$3:W$169, "Y", 'Data - Taxa'!$AZ$3:$AZ$169, "Y", 'Data - Taxa'!$AL$3:$AL$169, "Y")</f>
        <v>6</v>
      </c>
      <c r="Z12" s="4">
        <f t="shared" si="0"/>
        <v>18</v>
      </c>
    </row>
    <row r="13" spans="1:26" x14ac:dyDescent="0.35">
      <c r="A13" s="153" t="s">
        <v>488</v>
      </c>
      <c r="B13">
        <f>COUNTIFS('Data - Taxa'!X$3:X$169, "Y", 'Data - Taxa'!$B$3:$B$169, "Algal", 'Data - Taxa'!$AL$3:$AL$169, "Y")</f>
        <v>1</v>
      </c>
      <c r="C13">
        <f>COUNTIFS('Data - Taxa'!X$3:X$169, "Y", 'Data - Taxa'!$B$3:$B$169, "Arboreomorpha", 'Data - Taxa'!$AL$3:$AL$169, "Y")</f>
        <v>0</v>
      </c>
      <c r="D13">
        <f>COUNTIFS('Data - Taxa'!X$3:X$169, "Y", 'Data - Taxa'!$B$3:$B$169, "Bilateralomorpha", 'Data - Taxa'!$AL$3:$AL$169, "Y")</f>
        <v>0</v>
      </c>
      <c r="E13">
        <f>COUNTIFS('Data - Taxa'!X$3:X$169, "Y", 'Data - Taxa'!$B$3:$B$169, "Cnidarian", 'Data - Taxa'!$AL$3:$AL$169, "Y")</f>
        <v>0</v>
      </c>
      <c r="F13">
        <f>COUNTIFS('Data - Taxa'!X$3:X$169, "Y", 'Data - Taxa'!$B$3:$B$169, "Dickinsoniomorpha", 'Data - Taxa'!$AL$3:$AL$169, "Y")</f>
        <v>0</v>
      </c>
      <c r="G13">
        <f>COUNTIFS('Data - Taxa'!X$3:X$169, "Y", 'Data - Taxa'!$B$3:$B$169, "Complex discoidal", 'Data - Taxa'!$AL$3:$AL$169, "Y")</f>
        <v>0</v>
      </c>
      <c r="H13">
        <f>COUNTIFS('Data - Taxa'!X$3:X$169, "Y", 'Data - Taxa'!$B$3:$B$169, "Erniettomorpha", 'Data - Taxa'!$AL$3:$AL$169, "Y")</f>
        <v>0</v>
      </c>
      <c r="I13">
        <f>COUNTIFS('Data - Taxa'!X$3:X$169, "Y", 'Data - Taxa'!$B$3:$B$169, "Kimberellamorpha", 'Data - Taxa'!$AL$3:$AL$169, "Y")</f>
        <v>1</v>
      </c>
      <c r="J13">
        <f>COUNTIFS('Data - Taxa'!X$3:X$169, "Y", 'Data - Taxa'!$B$3:$B$169, "Pentaradialomorpha", 'Data - Taxa'!$AL$3:$AL$169, "Y")</f>
        <v>0</v>
      </c>
      <c r="K13">
        <f>COUNTIFS('Data - Taxa'!X$3:X$169, "Y", 'Data - Taxa'!$B$3:$B$169, "Protist", 'Data - Taxa'!$AL$3:$AL$169, "Y")</f>
        <v>0</v>
      </c>
      <c r="L13">
        <f>COUNTIFS('Data - Taxa'!X$3:X$169, "Y", 'Data - Taxa'!$B$3:$B$169, "Rangeomorpha", 'Data - Taxa'!$AL$3:$AL$169, "Y")</f>
        <v>0</v>
      </c>
      <c r="M13">
        <f>COUNTIFS('Data - Taxa'!X$3:X$169, "Y", 'Data - Taxa'!$B$3:$B$169, "Sponges", 'Data - Taxa'!$AL$3:$AL$169, "Y")</f>
        <v>0</v>
      </c>
      <c r="N13">
        <f>COUNTIFS('Data - Taxa'!X$3:X$169, "Y", 'Data - Taxa'!$B$3:$B$169, "Tetraradialomorpha", 'Data - Taxa'!$AL$3:$AL$169, "Y")</f>
        <v>1</v>
      </c>
      <c r="O13">
        <f>COUNTIFS('Data - Taxa'!X$3:X$169, "Y", 'Data - Taxa'!$B$3:$B$169, "Triradialomorpha", 'Data - Taxa'!$AL$3:$AL$169, "Y")</f>
        <v>0</v>
      </c>
      <c r="P13">
        <f>COUNTIFS('Data - Taxa'!X$3:X$169, "Y", 'Data - Taxa'!$B$3:$B$169, "Tubular", 'Data - Taxa'!$AL$3:$AL$169, "Y")</f>
        <v>1</v>
      </c>
      <c r="Q13">
        <f>COUNTIFS('Data - Taxa'!X$3:X$169, "Y", 'Data - Taxa'!$B$3:$B$169, "Miscellaneous", 'Data - Taxa'!$AL$3:$AL$169, "Y")+1</f>
        <v>1</v>
      </c>
      <c r="R13" s="4">
        <f>COUNTIFS('Data - Taxa'!X$3:X$169, "Y", 'Data - Taxa'!$AS$3:$AS$169, "Y", 'Data - Taxa'!$AL$3:$AL$169, "Y")</f>
        <v>1</v>
      </c>
      <c r="S13">
        <f>COUNTIFS('Data - Taxa'!X$3:X$169, "Y", 'Data - Taxa'!$AT$3:$AT$169, "Y", 'Data - Taxa'!$AL$3:$AL$169, "Y")</f>
        <v>1</v>
      </c>
      <c r="T13">
        <f>COUNTIFS('Data - Taxa'!X$3:X$169, "Y", 'Data - Taxa'!$AU$3:$AU$169, "Y", 'Data - Taxa'!$AL$3:$AL$169, "Y")</f>
        <v>1</v>
      </c>
      <c r="U13">
        <f>COUNTIFS('Data - Taxa'!X$3:X$169, "Y", 'Data - Taxa'!$AV$3:$AV$169, "Y", 'Data - Taxa'!$AL$3:$AL$169, "Y")</f>
        <v>0</v>
      </c>
      <c r="V13">
        <f>COUNTIFS('Data - Taxa'!X$3:X$169, "Y", 'Data - Taxa'!$AW$3:$AW$169, "Y", 'Data - Taxa'!$AL$3:$AL$169, "Y")</f>
        <v>0</v>
      </c>
      <c r="W13">
        <f>COUNTIFS('Data - Taxa'!X$3:X$169, "Y", 'Data - Taxa'!$AX$3:$AX$169, "Y", 'Data - Taxa'!$AL$3:$AL$169, "Y")</f>
        <v>0</v>
      </c>
      <c r="X13">
        <f>COUNTIFS('Data - Taxa'!X$3:X$169, "Y", 'Data - Taxa'!$AY$3:$AY$169, "Y", 'Data - Taxa'!$AL$3:$AL$169, "Y")</f>
        <v>1</v>
      </c>
      <c r="Y13">
        <f>COUNTIFS('Data - Taxa'!X$3:X$169, "Y", 'Data - Taxa'!$AZ$3:$AZ$169, "Y", 'Data - Taxa'!$AL$3:$AL$169, "Y")</f>
        <v>1</v>
      </c>
      <c r="Z13" s="4">
        <f t="shared" si="0"/>
        <v>5</v>
      </c>
    </row>
    <row r="14" spans="1:26" x14ac:dyDescent="0.35">
      <c r="A14" s="153" t="s">
        <v>480</v>
      </c>
      <c r="B14">
        <f>COUNTIFS('Data - Taxa'!Z$3:Z$169, "Y", 'Data - Taxa'!$B$3:$B$169, "Algal", 'Data - Taxa'!$AL$3:$AL$169, "Y")</f>
        <v>2</v>
      </c>
      <c r="C14">
        <f>COUNTIFS('Data - Taxa'!Z$3:Z$169, "Y", 'Data - Taxa'!$B$3:$B$169, "Arboreomorpha", 'Data - Taxa'!$AL$3:$AL$169, "Y")</f>
        <v>0</v>
      </c>
      <c r="D14">
        <f>COUNTIFS('Data - Taxa'!Z$3:Z$169, "Y", 'Data - Taxa'!$B$3:$B$169, "Bilateralomorpha", 'Data - Taxa'!$AL$3:$AL$169, "Y")</f>
        <v>1</v>
      </c>
      <c r="E14">
        <f>COUNTIFS('Data - Taxa'!Z$3:Z$169, "Y", 'Data - Taxa'!$B$3:$B$169, "Cnidarian", 'Data - Taxa'!$AL$3:$AL$169, "Y")</f>
        <v>1</v>
      </c>
      <c r="F14">
        <f>COUNTIFS('Data - Taxa'!Z$3:Z$169, "Y", 'Data - Taxa'!$B$3:$B$169, "Dickinsoniomorpha", 'Data - Taxa'!$AL$3:$AL$169, "Y")</f>
        <v>0</v>
      </c>
      <c r="G14">
        <f>COUNTIFS('Data - Taxa'!Z$3:Z$169, "Y", 'Data - Taxa'!$B$3:$B$169, "Complex discoidal", 'Data - Taxa'!$AL$3:$AL$169, "Y")</f>
        <v>0</v>
      </c>
      <c r="H14">
        <f>COUNTIFS('Data - Taxa'!Z$3:Z$169, "Y", 'Data - Taxa'!$B$3:$B$169, "Erniettomorpha", 'Data - Taxa'!$AL$3:$AL$169, "Y")</f>
        <v>0</v>
      </c>
      <c r="I14">
        <f>COUNTIFS('Data - Taxa'!Z$3:Z$169, "Y", 'Data - Taxa'!$B$3:$B$169, "Kimberellamorpha", 'Data - Taxa'!$AL$3:$AL$169, "Y")</f>
        <v>0</v>
      </c>
      <c r="J14">
        <f>COUNTIFS('Data - Taxa'!Z$3:Z$169, "Y", 'Data - Taxa'!$B$3:$B$169, "Pentaradialomorpha", 'Data - Taxa'!$AL$3:$AL$169, "Y")</f>
        <v>0</v>
      </c>
      <c r="K14">
        <f>COUNTIFS('Data - Taxa'!Z$3:Z$169, "Y", 'Data - Taxa'!$B$3:$B$169, "Protist", 'Data - Taxa'!$AL$3:$AL$169, "Y")</f>
        <v>0</v>
      </c>
      <c r="L14">
        <f>COUNTIFS('Data - Taxa'!Z$3:Z$169, "Y", 'Data - Taxa'!$B$3:$B$169, "Rangeomorpha", 'Data - Taxa'!$AL$3:$AL$169, "Y")</f>
        <v>0</v>
      </c>
      <c r="M14">
        <f>COUNTIFS('Data - Taxa'!Z$3:Z$169, "Y", 'Data - Taxa'!$B$3:$B$169, "Sponges", 'Data - Taxa'!$AL$3:$AL$169, "Y")</f>
        <v>0</v>
      </c>
      <c r="N14">
        <f>COUNTIFS('Data - Taxa'!Z$3:Z$169, "Y", 'Data - Taxa'!$B$3:$B$169, "Tetraradialomorpha", 'Data - Taxa'!$AL$3:$AL$169, "Y")</f>
        <v>0</v>
      </c>
      <c r="O14">
        <f>COUNTIFS('Data - Taxa'!Z$3:Z$169, "Y", 'Data - Taxa'!$B$3:$B$169, "Triradialomorpha", 'Data - Taxa'!$AL$3:$AL$169, "Y")</f>
        <v>0</v>
      </c>
      <c r="P14">
        <f>COUNTIFS('Data - Taxa'!Z$3:Z$169, "Y", 'Data - Taxa'!$B$3:$B$169, "Tubular", 'Data - Taxa'!$AL$3:$AL$169, "Y")</f>
        <v>2</v>
      </c>
      <c r="Q14">
        <f>COUNTIFS('Data - Taxa'!Z$3:Z$169, "Y", 'Data - Taxa'!$B$3:$B$169, "Miscellaneous", 'Data - Taxa'!$AL$3:$AL$169, "Y")</f>
        <v>0</v>
      </c>
      <c r="R14" s="4">
        <f>COUNTIFS('Data - Taxa'!Z$3:Z$169, "Y", 'Data - Taxa'!$AS$3:$AS$169, "Y", 'Data - Taxa'!$AL$3:$AL$169, "Y")</f>
        <v>2</v>
      </c>
      <c r="S14">
        <f>COUNTIFS('Data - Taxa'!Z$3:Z$169, "Y", 'Data - Taxa'!$AT$3:$AT$169, "Y", 'Data - Taxa'!$AL$3:$AL$169, "Y")</f>
        <v>1</v>
      </c>
      <c r="T14">
        <f>COUNTIFS('Data - Taxa'!Z$3:Z$169, "Y", 'Data - Taxa'!$AU$3:$AU$169, "Y", 'Data - Taxa'!$AL$3:$AL$169, "Y")</f>
        <v>0</v>
      </c>
      <c r="U14">
        <f>COUNTIFS('Data - Taxa'!Z$3:Z$169, "Y", 'Data - Taxa'!$AV$3:$AV$169, "Y", 'Data - Taxa'!$AL$3:$AL$169, "Y")</f>
        <v>0</v>
      </c>
      <c r="V14">
        <f>COUNTIFS('Data - Taxa'!Z$3:Z$169, "Y", 'Data - Taxa'!$AW$3:$AW$169, "Y", 'Data - Taxa'!$AL$3:$AL$169, "Y")</f>
        <v>0</v>
      </c>
      <c r="W14">
        <f>COUNTIFS('Data - Taxa'!Z$3:Z$169, "Y", 'Data - Taxa'!$AX$3:$AX$169, "Y", 'Data - Taxa'!$AL$3:$AL$169, "Y")</f>
        <v>0</v>
      </c>
      <c r="X14">
        <f>COUNTIFS('Data - Taxa'!Z$3:Z$169, "Y", 'Data - Taxa'!$AY$3:$AY$169, "Y", 'Data - Taxa'!$AL$3:$AL$169, "Y")</f>
        <v>2</v>
      </c>
      <c r="Y14">
        <f>COUNTIFS('Data - Taxa'!Z$3:Z$169, "Y", 'Data - Taxa'!$AZ$3:$AZ$169, "Y", 'Data - Taxa'!$AL$3:$AL$169, "Y")</f>
        <v>1</v>
      </c>
      <c r="Z14" s="4">
        <f t="shared" si="0"/>
        <v>6</v>
      </c>
    </row>
    <row r="15" spans="1:26" x14ac:dyDescent="0.35">
      <c r="A15" s="153" t="s">
        <v>482</v>
      </c>
      <c r="B15">
        <f>COUNTIFS('Data - Taxa'!AB$3:AB$169, "Y", 'Data - Taxa'!$B$3:$B$169, "Algal", 'Data - Taxa'!$AL$3:$AL$169, "Y")</f>
        <v>1</v>
      </c>
      <c r="C15">
        <f>COUNTIFS('Data - Taxa'!AB$3:AB$169, "Y", 'Data - Taxa'!$B$3:$B$169, "Arboreomorpha", 'Data - Taxa'!$AL$3:$AL$169, "Y")</f>
        <v>0</v>
      </c>
      <c r="D15">
        <f>COUNTIFS('Data - Taxa'!AB$3:AB$169, "Y", 'Data - Taxa'!$B$3:$B$169, "Bilateralomorpha", 'Data - Taxa'!$AL$3:$AL$169, "Y")</f>
        <v>0</v>
      </c>
      <c r="E15">
        <f>COUNTIFS('Data - Taxa'!AB$3:AB$169, "Y", 'Data - Taxa'!$B$3:$B$169, "Cnidarian", 'Data - Taxa'!$AL$3:$AL$169, "Y")</f>
        <v>0</v>
      </c>
      <c r="F15">
        <f>COUNTIFS('Data - Taxa'!AB$3:AB$169, "Y", 'Data - Taxa'!$B$3:$B$169, "Dickinsoniomorpha", 'Data - Taxa'!$AL$3:$AL$169, "Y")</f>
        <v>0</v>
      </c>
      <c r="G15">
        <f>COUNTIFS('Data - Taxa'!AB$3:AB$169, "Y", 'Data - Taxa'!$B$3:$B$169, "Complex discoidal", 'Data - Taxa'!$AL$3:$AL$169, "Y")</f>
        <v>0</v>
      </c>
      <c r="H15">
        <f>COUNTIFS('Data - Taxa'!AB$3:AB$169, "Y", 'Data - Taxa'!$B$3:$B$169, "Erniettomorpha", 'Data - Taxa'!$AL$3:$AL$169, "Y")</f>
        <v>0</v>
      </c>
      <c r="I15">
        <f>COUNTIFS('Data - Taxa'!AB$3:AB$169, "Y", 'Data - Taxa'!$B$3:$B$169, "Kimberellamorpha", 'Data - Taxa'!$AL$3:$AL$169, "Y")</f>
        <v>0</v>
      </c>
      <c r="J15">
        <f>COUNTIFS('Data - Taxa'!AB$3:AB$169, "Y", 'Data - Taxa'!$B$3:$B$169, "Pentaradialomorpha", 'Data - Taxa'!$AL$3:$AL$169, "Y")</f>
        <v>0</v>
      </c>
      <c r="K15">
        <f>COUNTIFS('Data - Taxa'!AB$3:AB$169, "Y", 'Data - Taxa'!$B$3:$B$169, "Protist", 'Data - Taxa'!$AL$3:$AL$169, "Y")</f>
        <v>0</v>
      </c>
      <c r="L15">
        <f>COUNTIFS('Data - Taxa'!AB$3:AB$169, "Y", 'Data - Taxa'!$B$3:$B$169, "Rangeomorpha", 'Data - Taxa'!$AL$3:$AL$169, "Y")</f>
        <v>0</v>
      </c>
      <c r="M15">
        <f>COUNTIFS('Data - Taxa'!AB$3:AB$169, "Y", 'Data - Taxa'!$B$3:$B$169, "Sponges", 'Data - Taxa'!$AL$3:$AL$169, "Y")</f>
        <v>0</v>
      </c>
      <c r="N15">
        <f>COUNTIFS('Data - Taxa'!AB$3:AB$169, "Y", 'Data - Taxa'!$B$3:$B$169, "Tetraradialomorpha", 'Data - Taxa'!$AL$3:$AL$169, "Y")</f>
        <v>0</v>
      </c>
      <c r="O15">
        <f>COUNTIFS('Data - Taxa'!AB$3:AB$169, "Y", 'Data - Taxa'!$B$3:$B$169, "Triradialomorpha", 'Data - Taxa'!$AL$3:$AL$169, "Y")</f>
        <v>0</v>
      </c>
      <c r="P15">
        <f>COUNTIFS('Data - Taxa'!AB$3:AB$169, "Y", 'Data - Taxa'!$B$3:$B$169, "Tubular", 'Data - Taxa'!$AL$3:$AL$169, "Y")</f>
        <v>5</v>
      </c>
      <c r="Q15">
        <f>COUNTIFS('Data - Taxa'!AB$3:AB$169, "Y", 'Data - Taxa'!$B$3:$B$169, "Miscellaneous", 'Data - Taxa'!$AL$3:$AL$169, "Y")+1</f>
        <v>1</v>
      </c>
      <c r="R15" s="4">
        <f>COUNTIFS('Data - Taxa'!AB$3:AB$169, "Y", 'Data - Taxa'!$AS$3:$AS$169, "Y", 'Data - Taxa'!$AL$3:$AL$169, "Y")</f>
        <v>1</v>
      </c>
      <c r="S15">
        <f>COUNTIFS('Data - Taxa'!AB$3:AB$169, "Y", 'Data - Taxa'!$AT$3:$AT$169, "Y", 'Data - Taxa'!$AL$3:$AL$169, "Y")</f>
        <v>0</v>
      </c>
      <c r="T15">
        <f>COUNTIFS('Data - Taxa'!AB$3:AB$169, "Y", 'Data - Taxa'!$AU$3:$AU$169, "Y", 'Data - Taxa'!$AL$3:$AL$169, "Y")</f>
        <v>0</v>
      </c>
      <c r="U15">
        <f>COUNTIFS('Data - Taxa'!AB$3:AB$169, "Y", 'Data - Taxa'!$AV$3:$AV$169, "Y", 'Data - Taxa'!$AL$3:$AL$169, "Y")</f>
        <v>0</v>
      </c>
      <c r="V15">
        <f>COUNTIFS('Data - Taxa'!AB$3:AB$169, "Y", 'Data - Taxa'!$AW$3:$AW$169, "Y", 'Data - Taxa'!$AL$3:$AL$169, "Y")</f>
        <v>0</v>
      </c>
      <c r="W15">
        <f>COUNTIFS('Data - Taxa'!AB$3:AB$169, "Y", 'Data - Taxa'!$AX$3:$AX$169, "Y", 'Data - Taxa'!$AL$3:$AL$169, "Y")</f>
        <v>0</v>
      </c>
      <c r="X15">
        <f>COUNTIFS('Data - Taxa'!AB$3:AB$169, "Y", 'Data - Taxa'!$AY$3:$AY$169, "Y", 'Data - Taxa'!$AL$3:$AL$169, "Y")</f>
        <v>5</v>
      </c>
      <c r="Y15">
        <f>COUNTIFS('Data - Taxa'!AB$3:AB$169, "Y", 'Data - Taxa'!$AZ$3:$AZ$169, "Y", 'Data - Taxa'!$AL$3:$AL$169, "Y")</f>
        <v>1</v>
      </c>
      <c r="Z15" s="4">
        <f t="shared" si="0"/>
        <v>7</v>
      </c>
    </row>
    <row r="16" spans="1:26" x14ac:dyDescent="0.35">
      <c r="A16" s="158" t="s">
        <v>484</v>
      </c>
      <c r="B16">
        <f>COUNTIFS('Data - Taxa'!AD$3:AD$169, "Y", 'Data - Taxa'!$B$3:$B$169, "Algal", 'Data - Taxa'!$AL$3:$AL$169, "Y")</f>
        <v>0</v>
      </c>
      <c r="C16">
        <f>COUNTIFS('Data - Taxa'!AD$3:AD$169, "Y", 'Data - Taxa'!$B$3:$B$169, "Arboreomorpha", 'Data - Taxa'!$AL$3:$AL$169, "Y")</f>
        <v>0</v>
      </c>
      <c r="D16">
        <f>COUNTIFS('Data - Taxa'!AD$3:AD$169, "Y", 'Data - Taxa'!$B$3:$B$169, "Bilateralomorpha", 'Data - Taxa'!$AL$3:$AL$169, "Y")</f>
        <v>0</v>
      </c>
      <c r="E16">
        <f>COUNTIFS('Data - Taxa'!AD$3:AD$169, "Y", 'Data - Taxa'!$B$3:$B$169, "Cnidarian", 'Data - Taxa'!$AL$3:$AL$169, "Y")</f>
        <v>0</v>
      </c>
      <c r="F16">
        <f>COUNTIFS('Data - Taxa'!AD$3:AD$169, "Y", 'Data - Taxa'!$B$3:$B$169, "Dickinsoniomorpha", 'Data - Taxa'!$AL$3:$AL$169, "Y")</f>
        <v>0</v>
      </c>
      <c r="G16">
        <f>COUNTIFS('Data - Taxa'!AD$3:AD$169, "Y", 'Data - Taxa'!$B$3:$B$169, "Complex discoidal", 'Data - Taxa'!$AL$3:$AL$169, "Y")</f>
        <v>0</v>
      </c>
      <c r="H16">
        <f>COUNTIFS('Data - Taxa'!AD$3:AD$169, "Y", 'Data - Taxa'!$B$3:$B$169, "Erniettomorpha", 'Data - Taxa'!$AL$3:$AL$169, "Y")</f>
        <v>3</v>
      </c>
      <c r="I16">
        <f>COUNTIFS('Data - Taxa'!AD$3:AD$169, "Y", 'Data - Taxa'!$B$3:$B$169, "Kimberellamorpha", 'Data - Taxa'!$AL$3:$AL$169, "Y")</f>
        <v>0</v>
      </c>
      <c r="J16">
        <f>COUNTIFS('Data - Taxa'!AD$3:AD$169, "Y", 'Data - Taxa'!$B$3:$B$169, "Pentaradialomorpha", 'Data - Taxa'!$AL$3:$AL$169, "Y")</f>
        <v>0</v>
      </c>
      <c r="K16">
        <f>COUNTIFS('Data - Taxa'!AD$3:AD$169, "Y", 'Data - Taxa'!$B$3:$B$169, "Protist", 'Data - Taxa'!$AL$3:$AL$169, "Y")</f>
        <v>0</v>
      </c>
      <c r="L16">
        <f>COUNTIFS('Data - Taxa'!AD$3:AD$169, "Y", 'Data - Taxa'!$B$3:$B$169, "Rangeomorpha", 'Data - Taxa'!$AL$3:$AL$169, "Y")</f>
        <v>0</v>
      </c>
      <c r="M16">
        <f>COUNTIFS('Data - Taxa'!AD$3:AD$169, "Y", 'Data - Taxa'!$B$3:$B$169, "Sponges", 'Data - Taxa'!$AL$3:$AL$169, "Y")</f>
        <v>0</v>
      </c>
      <c r="N16">
        <f>COUNTIFS('Data - Taxa'!AD$3:AD$169, "Y", 'Data - Taxa'!$B$3:$B$169, "Tetraradialomorpha", 'Data - Taxa'!$AL$3:$AL$169, "Y")</f>
        <v>0</v>
      </c>
      <c r="O16">
        <f>COUNTIFS('Data - Taxa'!AD$3:AD$169, "Y", 'Data - Taxa'!$B$3:$B$169, "Triradialomorpha", 'Data - Taxa'!$AL$3:$AL$169, "Y")</f>
        <v>0</v>
      </c>
      <c r="P16">
        <f>COUNTIFS('Data - Taxa'!AD$3:AD$169, "Y", 'Data - Taxa'!$B$3:$B$169, "Tubular", 'Data - Taxa'!$AL$3:$AL$169, "Y")</f>
        <v>2</v>
      </c>
      <c r="Q16">
        <f>COUNTIFS('Data - Taxa'!AD$3:AD$169, "Y", 'Data - Taxa'!$B$3:$B$169, "Miscellaneous", 'Data - Taxa'!$AL$3:$AL$169, "Y")</f>
        <v>0</v>
      </c>
      <c r="R16" s="4">
        <f>COUNTIFS('Data - Taxa'!AD$3:AD$169, "Y", 'Data - Taxa'!$AS$3:$AS$169, "Y", 'Data - Taxa'!$AL$3:$AL$169, "Y")</f>
        <v>0</v>
      </c>
      <c r="S16">
        <f>COUNTIFS('Data - Taxa'!AD$3:AD$169, "Y", 'Data - Taxa'!$AT$3:$AT$169, "Y", 'Data - Taxa'!$AL$3:$AL$169, "Y")</f>
        <v>0</v>
      </c>
      <c r="T16">
        <f>COUNTIFS('Data - Taxa'!AD$3:AD$169, "Y", 'Data - Taxa'!$AU$3:$AU$169, "Y", 'Data - Taxa'!$AL$3:$AL$169, "Y")</f>
        <v>0</v>
      </c>
      <c r="U16">
        <f>COUNTIFS('Data - Taxa'!AD$3:AD$169, "Y", 'Data - Taxa'!$AV$3:$AV$169, "Y", 'Data - Taxa'!$AL$3:$AL$169, "Y")</f>
        <v>0</v>
      </c>
      <c r="V16">
        <f>COUNTIFS('Data - Taxa'!AD$3:AD$169, "Y", 'Data - Taxa'!$AW$3:$AW$169, "Y", 'Data - Taxa'!$AL$3:$AL$169, "Y")</f>
        <v>3</v>
      </c>
      <c r="W16">
        <f>COUNTIFS('Data - Taxa'!AD$3:AD$169, "Y", 'Data - Taxa'!$AX$3:$AX$169, "Y", 'Data - Taxa'!$AL$3:$AL$169, "Y")</f>
        <v>0</v>
      </c>
      <c r="X16">
        <f>COUNTIFS('Data - Taxa'!AD$3:AD$169, "Y", 'Data - Taxa'!$AY$3:$AY$169, "Y", 'Data - Taxa'!$AL$3:$AL$169, "Y")</f>
        <v>2</v>
      </c>
      <c r="Y16">
        <f>COUNTIFS('Data - Taxa'!AD$3:AD$169, "Y", 'Data - Taxa'!$AZ$3:$AZ$169, "Y", 'Data - Taxa'!$AL$3:$AL$169, "Y")</f>
        <v>0</v>
      </c>
      <c r="Z16" s="4">
        <f t="shared" si="0"/>
        <v>5</v>
      </c>
    </row>
    <row r="17" spans="1:26" x14ac:dyDescent="0.35">
      <c r="A17" s="153" t="s">
        <v>485</v>
      </c>
      <c r="B17">
        <f>COUNTIFS('Data - Taxa'!AE$3:AE$169, "Y", 'Data - Taxa'!$B$3:$B$169, "Algal", 'Data - Taxa'!$AL$3:$AL$169, "Y")</f>
        <v>2</v>
      </c>
      <c r="C17">
        <f>COUNTIFS('Data - Taxa'!AE$3:AE$169, "Y", 'Data - Taxa'!$B$3:$B$169, "Arboreomorpha", 'Data - Taxa'!$AL$3:$AL$169, "Y")</f>
        <v>0</v>
      </c>
      <c r="D17">
        <f>COUNTIFS('Data - Taxa'!AE$3:AE$169, "Y", 'Data - Taxa'!$B$3:$B$169, "Bilateralomorpha", 'Data - Taxa'!$AL$3:$AL$169, "Y")</f>
        <v>0</v>
      </c>
      <c r="E17">
        <f>COUNTIFS('Data - Taxa'!AE$3:AE$169, "Y", 'Data - Taxa'!$B$3:$B$169, "Cnidarian", 'Data - Taxa'!$AL$3:$AL$169, "Y")</f>
        <v>0</v>
      </c>
      <c r="F17">
        <f>COUNTIFS('Data - Taxa'!AE$3:AE$169, "Y", 'Data - Taxa'!$B$3:$B$169, "Dickinsoniomorpha", 'Data - Taxa'!$AL$3:$AL$169, "Y")</f>
        <v>0</v>
      </c>
      <c r="G17">
        <f>COUNTIFS('Data - Taxa'!AE$3:AE$169, "Y", 'Data - Taxa'!$B$3:$B$169, "Complex discoidal", 'Data - Taxa'!$AL$3:$AL$169, "Y")</f>
        <v>0</v>
      </c>
      <c r="H17">
        <f>COUNTIFS('Data - Taxa'!AE$3:AE$169, "Y", 'Data - Taxa'!$B$3:$B$169, "Erniettomorpha", 'Data - Taxa'!$AL$3:$AL$169, "Y")</f>
        <v>0</v>
      </c>
      <c r="I17">
        <f>COUNTIFS('Data - Taxa'!AE$3:AE$169, "Y", 'Data - Taxa'!$B$3:$B$169, "Kimberellamorpha", 'Data - Taxa'!$AL$3:$AL$169, "Y")</f>
        <v>0</v>
      </c>
      <c r="J17">
        <f>COUNTIFS('Data - Taxa'!AE$3:AE$169, "Y", 'Data - Taxa'!$B$3:$B$169, "Pentaradialomorpha", 'Data - Taxa'!$AL$3:$AL$169, "Y")</f>
        <v>0</v>
      </c>
      <c r="K17">
        <f>COUNTIFS('Data - Taxa'!AE$3:AE$169, "Y", 'Data - Taxa'!$B$3:$B$169, "Protist", 'Data - Taxa'!$AL$3:$AL$169, "Y")</f>
        <v>0</v>
      </c>
      <c r="L17">
        <f>COUNTIFS('Data - Taxa'!AE$3:AE$169, "Y", 'Data - Taxa'!$B$3:$B$169, "Rangeomorpha", 'Data - Taxa'!$AL$3:$AL$169, "Y")</f>
        <v>0</v>
      </c>
      <c r="M17">
        <f>COUNTIFS('Data - Taxa'!AE$3:AE$169, "Y", 'Data - Taxa'!$B$3:$B$169, "Sponges", 'Data - Taxa'!$AL$3:$AL$169, "Y")</f>
        <v>0</v>
      </c>
      <c r="N17">
        <f>COUNTIFS('Data - Taxa'!AE$3:AE$169, "Y", 'Data - Taxa'!$B$3:$B$169, "Tetraradialomorpha", 'Data - Taxa'!$AL$3:$AL$169, "Y")</f>
        <v>0</v>
      </c>
      <c r="O17">
        <f>COUNTIFS('Data - Taxa'!AE$3:AE$169, "Y", 'Data - Taxa'!$B$3:$B$169, "Triradialomorpha", 'Data - Taxa'!$AL$3:$AL$169, "Y")</f>
        <v>0</v>
      </c>
      <c r="P17">
        <f>COUNTIFS('Data - Taxa'!AE$3:AE$169, "Y", 'Data - Taxa'!$B$3:$B$169, "Tubular", 'Data - Taxa'!$AL$3:$AL$169, "Y")</f>
        <v>1</v>
      </c>
      <c r="Q17">
        <f>COUNTIFS('Data - Taxa'!AE$3:AE$169, "Y", 'Data - Taxa'!$B$3:$B$169, "Miscellaneous", 'Data - Taxa'!$AL$3:$AL$169, "Y")</f>
        <v>0</v>
      </c>
      <c r="R17" s="4">
        <f>COUNTIFS('Data - Taxa'!AE$3:AE$169, "Y", 'Data - Taxa'!$AS$3:$AS$169, "Y", 'Data - Taxa'!$AL$3:$AL$169, "Y")</f>
        <v>2</v>
      </c>
      <c r="S17">
        <f>COUNTIFS('Data - Taxa'!AE$3:AE$169, "Y", 'Data - Taxa'!$AT$3:$AT$169, "Y", 'Data - Taxa'!$AL$3:$AL$169, "Y")</f>
        <v>0</v>
      </c>
      <c r="T17">
        <f>COUNTIFS('Data - Taxa'!AE$3:AE$169, "Y", 'Data - Taxa'!$AU$3:$AU$169, "Y", 'Data - Taxa'!$AL$3:$AL$169, "Y")</f>
        <v>0</v>
      </c>
      <c r="U17">
        <f>COUNTIFS('Data - Taxa'!AE$3:AE$169, "Y", 'Data - Taxa'!$AV$3:$AV$169, "Y", 'Data - Taxa'!$AL$3:$AL$169, "Y")</f>
        <v>0</v>
      </c>
      <c r="V17">
        <f>COUNTIFS('Data - Taxa'!AE$3:AE$169, "Y", 'Data - Taxa'!$AW$3:$AW$169, "Y", 'Data - Taxa'!$AL$3:$AL$169, "Y")</f>
        <v>0</v>
      </c>
      <c r="W17">
        <f>COUNTIFS('Data - Taxa'!AE$3:AE$169, "Y", 'Data - Taxa'!$AX$3:$AX$169, "Y", 'Data - Taxa'!$AL$3:$AL$169, "Y")</f>
        <v>0</v>
      </c>
      <c r="X17">
        <f>COUNTIFS('Data - Taxa'!AE$3:AE$169, "Y", 'Data - Taxa'!$AY$3:$AY$169, "Y", 'Data - Taxa'!$AL$3:$AL$169, "Y")</f>
        <v>1</v>
      </c>
      <c r="Y17">
        <f>COUNTIFS('Data - Taxa'!AE$3:AE$169, "Y", 'Data - Taxa'!$AZ$3:$AZ$169, "Y", 'Data - Taxa'!$AL$3:$AL$169, "Y")</f>
        <v>0</v>
      </c>
      <c r="Z17" s="4">
        <f t="shared" si="0"/>
        <v>3</v>
      </c>
    </row>
    <row r="18" spans="1:26" x14ac:dyDescent="0.35">
      <c r="A18" s="153" t="s">
        <v>486</v>
      </c>
      <c r="B18">
        <f>COUNTIFS('Data - Taxa'!AF$3:AF$169, "Y", 'Data - Taxa'!$B$3:$B$169, "Algal", 'Data - Taxa'!$AL$3:$AL$169, "Y")</f>
        <v>0</v>
      </c>
      <c r="C18">
        <f>COUNTIFS('Data - Taxa'!AF$3:AF$169, "Y", 'Data - Taxa'!$B$3:$B$169, "Arboreomorpha", 'Data - Taxa'!$AL$3:$AL$169, "Y")</f>
        <v>0</v>
      </c>
      <c r="D18">
        <f>COUNTIFS('Data - Taxa'!AF$3:AF$169, "Y", 'Data - Taxa'!$B$3:$B$169, "Bilateralomorpha", 'Data - Taxa'!$AL$3:$AL$169, "Y")</f>
        <v>1</v>
      </c>
      <c r="E18">
        <f>COUNTIFS('Data - Taxa'!AF$3:AF$169, "Y", 'Data - Taxa'!$B$3:$B$169, "Cnidarian", 'Data - Taxa'!$AL$3:$AL$169, "Y")</f>
        <v>0</v>
      </c>
      <c r="F18">
        <f>COUNTIFS('Data - Taxa'!AF$3:AF$169, "Y", 'Data - Taxa'!$B$3:$B$169, "Dickinsoniomorpha", 'Data - Taxa'!$AL$3:$AL$169, "Y")</f>
        <v>0</v>
      </c>
      <c r="G18">
        <f>COUNTIFS('Data - Taxa'!AF$3:AF$169, "Y", 'Data - Taxa'!$B$3:$B$169, "Complex discoidal", 'Data - Taxa'!$AL$3:$AL$169, "Y")</f>
        <v>0</v>
      </c>
      <c r="H18">
        <f>COUNTIFS('Data - Taxa'!AF$3:AF$169, "Y", 'Data - Taxa'!$B$3:$B$169, "Erniettomorpha", 'Data - Taxa'!$AL$3:$AL$169, "Y")</f>
        <v>0</v>
      </c>
      <c r="I18">
        <f>COUNTIFS('Data - Taxa'!AF$3:AF$169, "Y", 'Data - Taxa'!$B$3:$B$169, "Kimberellamorpha", 'Data - Taxa'!$AL$3:$AL$169, "Y")</f>
        <v>0</v>
      </c>
      <c r="J18">
        <f>COUNTIFS('Data - Taxa'!AF$3:AF$169, "Y", 'Data - Taxa'!$B$3:$B$169, "Pentaradialomorpha", 'Data - Taxa'!$AL$3:$AL$169, "Y")</f>
        <v>0</v>
      </c>
      <c r="K18">
        <f>COUNTIFS('Data - Taxa'!AF$3:AF$169, "Y", 'Data - Taxa'!$B$3:$B$169, "Protist", 'Data - Taxa'!$AL$3:$AL$169, "Y")</f>
        <v>0</v>
      </c>
      <c r="L18">
        <f>COUNTIFS('Data - Taxa'!AF$3:AF$169, "Y", 'Data - Taxa'!$B$3:$B$169, "Rangeomorpha", 'Data - Taxa'!$AL$3:$AL$169, "Y")</f>
        <v>0</v>
      </c>
      <c r="M18">
        <f>COUNTIFS('Data - Taxa'!AF$3:AF$169, "Y", 'Data - Taxa'!$B$3:$B$169, "Sponges", 'Data - Taxa'!$AL$3:$AL$169, "Y")</f>
        <v>0</v>
      </c>
      <c r="N18">
        <f>COUNTIFS('Data - Taxa'!AF$3:AF$169, "Y", 'Data - Taxa'!$B$3:$B$169, "Tetraradialomorpha", 'Data - Taxa'!$AL$3:$AL$169, "Y")</f>
        <v>0</v>
      </c>
      <c r="O18">
        <f>COUNTIFS('Data - Taxa'!AF$3:AF$169, "Y", 'Data - Taxa'!$B$3:$B$169, "Triradialomorpha", 'Data - Taxa'!$AL$3:$AL$169, "Y")</f>
        <v>0</v>
      </c>
      <c r="P18">
        <f>COUNTIFS('Data - Taxa'!AF$3:AF$169, "Y", 'Data - Taxa'!$B$3:$B$169, "Tubular", 'Data - Taxa'!$AL$3:$AL$169, "Y")</f>
        <v>1</v>
      </c>
      <c r="Q18">
        <f>COUNTIFS('Data - Taxa'!AF$3:AF$169, "Y", 'Data - Taxa'!$B$3:$B$169, "Miscellaneous", 'Data - Taxa'!$AL$3:$AL$169, "Y")</f>
        <v>0</v>
      </c>
      <c r="R18" s="4">
        <f>COUNTIFS('Data - Taxa'!AF$3:AF$169, "Y", 'Data - Taxa'!$AS$3:$AS$169, "Y", 'Data - Taxa'!$AL$3:$AL$169, "Y")</f>
        <v>0</v>
      </c>
      <c r="S18">
        <f>COUNTIFS('Data - Taxa'!AF$3:AF$169, "Y", 'Data - Taxa'!$AT$3:$AT$169, "Y", 'Data - Taxa'!$AL$3:$AL$169, "Y")</f>
        <v>1</v>
      </c>
      <c r="T18">
        <f>COUNTIFS('Data - Taxa'!AF$3:AF$169, "Y", 'Data - Taxa'!$AU$3:$AU$169, "Y", 'Data - Taxa'!$AL$3:$AL$169, "Y")</f>
        <v>0</v>
      </c>
      <c r="U18">
        <f>COUNTIFS('Data - Taxa'!AF$3:AF$169, "Y", 'Data - Taxa'!$AV$3:$AV$169, "Y", 'Data - Taxa'!$AL$3:$AL$169, "Y")</f>
        <v>0</v>
      </c>
      <c r="V18">
        <f>COUNTIFS('Data - Taxa'!AF$3:AF$169, "Y", 'Data - Taxa'!$AW$3:$AW$169, "Y", 'Data - Taxa'!$AL$3:$AL$169, "Y")</f>
        <v>0</v>
      </c>
      <c r="W18">
        <f>COUNTIFS('Data - Taxa'!AF$3:AF$169, "Y", 'Data - Taxa'!$AX$3:$AX$169, "Y", 'Data - Taxa'!$AL$3:$AL$169, "Y")</f>
        <v>0</v>
      </c>
      <c r="X18">
        <f>COUNTIFS('Data - Taxa'!AF$3:AF$169, "Y", 'Data - Taxa'!$AY$3:$AY$169, "Y", 'Data - Taxa'!$AL$3:$AL$169, "Y")</f>
        <v>1</v>
      </c>
      <c r="Y18">
        <f>COUNTIFS('Data - Taxa'!AF$3:AF$169, "Y", 'Data - Taxa'!$AZ$3:$AZ$169, "Y", 'Data - Taxa'!$AL$3:$AL$169, "Y")</f>
        <v>0</v>
      </c>
      <c r="Z18" s="4">
        <f t="shared" si="0"/>
        <v>2</v>
      </c>
    </row>
    <row r="19" spans="1:26" x14ac:dyDescent="0.35">
      <c r="A19" s="153" t="s">
        <v>487</v>
      </c>
      <c r="B19">
        <f>COUNTIFS('Data - Taxa'!AG$3:AG$169, "Y", 'Data - Taxa'!$B$3:$B$169, "Algal", 'Data - Taxa'!$AL$3:$AL$169, "Y")</f>
        <v>0</v>
      </c>
      <c r="C19">
        <f>COUNTIFS('Data - Taxa'!AG$3:AG$169, "Y", 'Data - Taxa'!$B$3:$B$169, "Arboreomorpha", 'Data - Taxa'!$AL$3:$AL$169, "Y")</f>
        <v>0</v>
      </c>
      <c r="D19">
        <f>COUNTIFS('Data - Taxa'!AG$3:AG$169, "Y", 'Data - Taxa'!$B$3:$B$169, "Bilateralomorpha", 'Data - Taxa'!$AL$3:$AL$169, "Y")</f>
        <v>0</v>
      </c>
      <c r="E19">
        <f>COUNTIFS('Data - Taxa'!AG$3:AG$169, "Y", 'Data - Taxa'!$B$3:$B$169, "Cnidarian", 'Data - Taxa'!$AL$3:$AL$169, "Y")</f>
        <v>0</v>
      </c>
      <c r="F19">
        <f>COUNTIFS('Data - Taxa'!AG$3:AG$169, "Y", 'Data - Taxa'!$B$3:$B$169, "Dickinsoniomorpha", 'Data - Taxa'!$AL$3:$AL$169, "Y")</f>
        <v>0</v>
      </c>
      <c r="G19">
        <f>COUNTIFS('Data - Taxa'!AG$3:AG$169, "Y", 'Data - Taxa'!$B$3:$B$169, "Complex discoidal", 'Data - Taxa'!$AL$3:$AL$169, "Y")</f>
        <v>0</v>
      </c>
      <c r="H19">
        <f>COUNTIFS('Data - Taxa'!AG$3:AG$169, "Y", 'Data - Taxa'!$B$3:$B$169, "Erniettomorpha", 'Data - Taxa'!$AL$3:$AL$169, "Y")</f>
        <v>0</v>
      </c>
      <c r="I19">
        <f>COUNTIFS('Data - Taxa'!AG$3:AG$169, "Y", 'Data - Taxa'!$B$3:$B$169, "Kimberellamorpha", 'Data - Taxa'!$AL$3:$AL$169, "Y")</f>
        <v>0</v>
      </c>
      <c r="J19">
        <f>COUNTIFS('Data - Taxa'!AG$3:AG$169, "Y", 'Data - Taxa'!$B$3:$B$169, "PentarAEialomorpha", 'Data - Taxa'!$AL$3:$AL$169, "Y")</f>
        <v>0</v>
      </c>
      <c r="K19">
        <f>COUNTIFS('Data - Taxa'!AG$3:AG$169, "Y", 'Data - Taxa'!$B$3:$B$169, "Protist", 'Data - Taxa'!$AL$3:$AL$169, "Y")-1</f>
        <v>1</v>
      </c>
      <c r="L19">
        <f>COUNTIFS('Data - Taxa'!AG$3:AG$169, "Y", 'Data - Taxa'!$B$3:$B$169, "Rangeomorpha", 'Data - Taxa'!$AL$3:$AL$169, "Y")</f>
        <v>0</v>
      </c>
      <c r="M19">
        <f>COUNTIFS('Data - Taxa'!AG$3:AG$169, "Y", 'Data - Taxa'!$B$3:$B$169, "Sponges", 'Data - Taxa'!$AL$3:$AL$169, "Y")</f>
        <v>0</v>
      </c>
      <c r="N19">
        <f>COUNTIFS('Data - Taxa'!AG$3:AG$169, "Y", 'Data - Taxa'!$B$3:$B$169, "TetrarAEialomorpha", 'Data - Taxa'!$AL$3:$AL$169, "Y")</f>
        <v>0</v>
      </c>
      <c r="O19">
        <f>COUNTIFS('Data - Taxa'!AG$3:AG$169, "Y", 'Data - Taxa'!$B$3:$B$169, "TrirAEialomorpha", 'Data - Taxa'!$AL$3:$AL$169, "Y")</f>
        <v>0</v>
      </c>
      <c r="P19">
        <f>COUNTIFS('Data - Taxa'!AG$3:AG$169, "Y", 'Data - Taxa'!$B$3:$B$169, "Tubular", 'Data - Taxa'!$AL$3:$AL$169, "Y")</f>
        <v>0</v>
      </c>
      <c r="Q19">
        <f>COUNTIFS('Data - Taxa'!AG$3:AG$169, "Y", 'Data - Taxa'!$B$3:$B$169, "Miscellaneous", 'Data - Taxa'!$AL$3:$AL$169, "Y")+1</f>
        <v>1</v>
      </c>
      <c r="R19" s="4">
        <f>COUNTIFS('Data - Taxa'!AG$3:AG$169, "Y", 'Data - Taxa'!$AS$3:$AS$169, "Y", 'Data - Taxa'!$AL$3:$AL$169, "Y")</f>
        <v>0</v>
      </c>
      <c r="S19">
        <f>COUNTIFS('Data - Taxa'!AG$3:AG$169, "Y", 'Data - Taxa'!$AT$3:$AT$169, "Y", 'Data - Taxa'!$AL$3:$AL$169, "Y")</f>
        <v>0</v>
      </c>
      <c r="T19">
        <f>COUNTIFS('Data - Taxa'!AG$3:AG$169, "Y", 'Data - Taxa'!$AU$3:$AU$169, "Y", 'Data - Taxa'!$AL$3:$AL$169, "Y")</f>
        <v>0</v>
      </c>
      <c r="U19">
        <f>COUNTIFS('Data - Taxa'!AG$3:AG$169, "Y", 'Data - Taxa'!$AV$3:$AV$169, "Y", 'Data - Taxa'!$AL$3:$AL$169, "Y")</f>
        <v>0</v>
      </c>
      <c r="V19">
        <f>COUNTIFS('Data - Taxa'!AG$3:AG$169, "Y", 'Data - Taxa'!$AW$3:$AW$169, "Y", 'Data - Taxa'!$AL$3:$AL$169, "Y")</f>
        <v>0</v>
      </c>
      <c r="W19">
        <f>COUNTIFS('Data - Taxa'!AG$3:AG$169, "Y", 'Data - Taxa'!$AX$3:$AX$169, "Y", 'Data - Taxa'!$AL$3:$AL$169, "Y")-1</f>
        <v>1</v>
      </c>
      <c r="X19">
        <f>COUNTIFS('Data - Taxa'!AG$3:AG$169, "Y", 'Data - Taxa'!$AY$3:$AY$169, "Y", 'Data - Taxa'!$AL$3:$AL$169, "Y")</f>
        <v>0</v>
      </c>
      <c r="Y19">
        <f>COUNTIFS('Data - Taxa'!AG$3:AG$169, "Y", 'Data - Taxa'!$AZ$3:$AZ$169, "Y", 'Data - Taxa'!$AL$3:$AL$169, "Y")</f>
        <v>1</v>
      </c>
      <c r="Z19" s="4">
        <f t="shared" ref="Z19" si="1">SUM(R19:Y19)</f>
        <v>2</v>
      </c>
    </row>
  </sheetData>
  <mergeCells count="2">
    <mergeCell ref="B1:Q1"/>
    <mergeCell ref="R1:Y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AB4D28DC30974F8DF13AF3195573DD" ma:contentTypeVersion="10" ma:contentTypeDescription="Create a new document." ma:contentTypeScope="" ma:versionID="9ef658561e0589d14162ce7baf6155ae">
  <xsd:schema xmlns:xsd="http://www.w3.org/2001/XMLSchema" xmlns:xs="http://www.w3.org/2001/XMLSchema" xmlns:p="http://schemas.microsoft.com/office/2006/metadata/properties" xmlns:ns2="f0cced3b-310d-45b8-97bf-d36cbbb5d34b" targetNamespace="http://schemas.microsoft.com/office/2006/metadata/properties" ma:root="true" ma:fieldsID="c6f74d9e8b7c89f14e68903dbb78fd1c" ns2:_="">
    <xsd:import namespace="f0cced3b-310d-45b8-97bf-d36cbbb5d3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ced3b-310d-45b8-97bf-d36cbbb5d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6E4C32-DEF7-496B-AE2F-3E42F8A50758}"/>
</file>

<file path=customXml/itemProps2.xml><?xml version="1.0" encoding="utf-8"?>
<ds:datastoreItem xmlns:ds="http://schemas.openxmlformats.org/officeDocument/2006/customXml" ds:itemID="{DBEB508B-380C-4F56-8A2A-A691EDD8E8DA}"/>
</file>

<file path=customXml/itemProps3.xml><?xml version="1.0" encoding="utf-8"?>
<ds:datastoreItem xmlns:ds="http://schemas.openxmlformats.org/officeDocument/2006/customXml" ds:itemID="{42D9AEAC-8AD3-4CD5-9A86-6C94287FFC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 Taxa</vt:lpstr>
      <vt:lpstr>Data - Localities</vt:lpstr>
      <vt:lpstr>Plots - Temporal Data</vt:lpstr>
      <vt:lpstr>Plots - Palaeolatitudinal Data</vt:lpstr>
      <vt:lpstr>R - All Data</vt:lpstr>
      <vt:lpstr>Maps - &gt;571 Ma</vt:lpstr>
      <vt:lpstr>Maps - 570-561 Ma</vt:lpstr>
      <vt:lpstr>Maps - 560-551 Ma</vt:lpstr>
      <vt:lpstr>Maps - 550-539 Ma</vt:lpstr>
      <vt:lpstr>Maps - Bilateral&amp;Biomineraliser</vt:lpstr>
      <vt:lpstr>Coordinates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2021-02-26T19:19:17Z</dcterms:created>
  <dcterms:modified xsi:type="dcterms:W3CDTF">2021-05-11T11:16:52Z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0x0101002AAB4D28DC30974F8DF13AF3195573DD</vt:lpwstr>
  </property>
  <property fmtid="{D5CDD505-2E9C-101B-9397-08002B2CF9AE}" pid="3" name="Order">
    <vt:r8>7125000</vt:r8>
  </property>
</Properties>
</file>